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55" yWindow="-240" windowWidth="15840" windowHeight="11910" tabRatio="846" activeTab="5"/>
  </bookViews>
  <sheets>
    <sheet name="Ф1 2022" sheetId="1" r:id="rId1"/>
    <sheet name="Ф1 2023" sheetId="2" r:id="rId2"/>
    <sheet name="Ф1 2024" sheetId="28" r:id="rId3"/>
    <sheet name="Ф1 2025" sheetId="29" r:id="rId4"/>
    <sheet name="Ф1 2026" sheetId="30" r:id="rId5"/>
    <sheet name="Ф2" sheetId="4" r:id="rId6"/>
    <sheet name="Ф3" sheetId="8" r:id="rId7"/>
    <sheet name="Ф4" sheetId="10" r:id="rId8"/>
    <sheet name="Ф5 2022" sheetId="11" r:id="rId9"/>
    <sheet name="Ф5 2023" sheetId="31" r:id="rId10"/>
    <sheet name="Ф5 2024" sheetId="35" r:id="rId11"/>
    <sheet name="Ф5 2025" sheetId="36" r:id="rId12"/>
    <sheet name="Ф5 2026" sheetId="37" r:id="rId13"/>
    <sheet name="Ф6" sheetId="14" r:id="rId14"/>
    <sheet name="Ф7" sheetId="15" r:id="rId15"/>
    <sheet name="Ф9" sheetId="16" r:id="rId16"/>
    <sheet name="Ф10" sheetId="17" r:id="rId17"/>
    <sheet name="Ф12" sheetId="18" r:id="rId18"/>
    <sheet name="Ф13" sheetId="19" r:id="rId19"/>
    <sheet name="Ф14" sheetId="20" r:id="rId20"/>
    <sheet name="Ф17" sheetId="5" r:id="rId21"/>
    <sheet name="Ф 18" sheetId="21" r:id="rId22"/>
    <sheet name="ФП" sheetId="38" r:id="rId23"/>
    <sheet name="Лист1" sheetId="25" r:id="rId24"/>
    <sheet name="код" sheetId="27" r:id="rId25"/>
  </sheets>
  <definedNames>
    <definedName name="_xlnm.Print_Area" localSheetId="0">'Ф1 2022'!$A$1:$S$70</definedName>
    <definedName name="_xlnm.Print_Area" localSheetId="16">Ф10!$A$1:$R$84</definedName>
    <definedName name="_xlnm.Print_Area" localSheetId="17">Ф12!$A$1:$AE$85</definedName>
    <definedName name="_xlnm.Print_Area" localSheetId="18">Ф13!$A$1:$K$74</definedName>
    <definedName name="_xlnm.Print_Area" localSheetId="19">Ф14!$A$1:$AA$80</definedName>
    <definedName name="_xlnm.Print_Area" localSheetId="7">Ф4!$A$1:$DL$86</definedName>
    <definedName name="_xlnm.Print_Area" localSheetId="8">'Ф5 2022'!$A$1:$AN$86</definedName>
    <definedName name="_xlnm.Print_Area" localSheetId="9">'Ф5 2023'!$A$1:$AN$86</definedName>
    <definedName name="_xlnm.Print_Area" localSheetId="10">'Ф5 2024'!$A$1:$AN$86</definedName>
    <definedName name="_xlnm.Print_Area" localSheetId="11">'Ф5 2025'!$A$1:$AN$86</definedName>
    <definedName name="_xlnm.Print_Area" localSheetId="12">'Ф5 2026'!$A$1:$AN$86</definedName>
    <definedName name="_xlnm.Print_Area" localSheetId="13">Ф6!$A$1:$CH$89</definedName>
    <definedName name="_xlnm.Print_Area" localSheetId="14">Ф7!$A$6:$EB$89</definedName>
    <definedName name="_xlnm.Print_Area" localSheetId="15">Ф9!$A$1:$K$86</definedName>
    <definedName name="_xlnm.Print_Area" localSheetId="22">ФП!$A$1:$W$457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72" i="4" l="1"/>
  <c r="BY72" i="4"/>
  <c r="BZ72" i="4"/>
  <c r="CA72" i="4"/>
  <c r="BX73" i="4"/>
  <c r="BY73" i="4"/>
  <c r="BZ73" i="4"/>
  <c r="CA73" i="4"/>
  <c r="BX53" i="4"/>
  <c r="BY53" i="4"/>
  <c r="BZ53" i="4"/>
  <c r="CA53" i="4"/>
  <c r="BX54" i="4"/>
  <c r="BY54" i="4"/>
  <c r="BZ54" i="4"/>
  <c r="CA54" i="4"/>
  <c r="BX55" i="4"/>
  <c r="BY55" i="4"/>
  <c r="BZ55" i="4"/>
  <c r="CA55" i="4"/>
  <c r="BX56" i="4"/>
  <c r="BY56" i="4"/>
  <c r="BZ56" i="4"/>
  <c r="CA56" i="4"/>
  <c r="BX52" i="4"/>
  <c r="BY52" i="4"/>
  <c r="BZ52" i="4"/>
  <c r="CA52" i="4"/>
  <c r="BW47" i="4"/>
  <c r="BX47" i="4"/>
  <c r="BY47" i="4"/>
  <c r="BZ47" i="4"/>
  <c r="CA47" i="4"/>
  <c r="BW48" i="4"/>
  <c r="BX48" i="4"/>
  <c r="BY48" i="4"/>
  <c r="BZ48" i="4"/>
  <c r="CA48" i="4"/>
  <c r="BX46" i="4"/>
  <c r="BY46" i="4"/>
  <c r="BZ46" i="4"/>
  <c r="CA46" i="4"/>
  <c r="BX41" i="4"/>
  <c r="BY41" i="4"/>
  <c r="BZ41" i="4"/>
  <c r="CA41" i="4"/>
  <c r="BW40" i="4"/>
  <c r="BX40" i="4"/>
  <c r="BY40" i="4"/>
  <c r="BZ40" i="4"/>
  <c r="CA40" i="4"/>
  <c r="BX39" i="4"/>
  <c r="BY39" i="4"/>
  <c r="BZ39" i="4"/>
  <c r="CA39" i="4"/>
  <c r="BY45" i="4"/>
  <c r="BO41" i="4"/>
  <c r="AK45" i="4"/>
  <c r="AL45" i="4"/>
  <c r="AC39" i="4"/>
  <c r="M210" i="38"/>
  <c r="N210" i="38"/>
  <c r="O210" i="38"/>
  <c r="P210" i="38"/>
  <c r="Q210" i="38"/>
  <c r="R210" i="38"/>
  <c r="S210" i="38"/>
  <c r="T210" i="38"/>
  <c r="U210" i="38"/>
  <c r="L210" i="38"/>
  <c r="M308" i="38"/>
  <c r="M302" i="38"/>
  <c r="N395" i="38" l="1"/>
  <c r="O395" i="38"/>
  <c r="R395" i="38"/>
  <c r="S395" i="38"/>
  <c r="L396" i="38"/>
  <c r="L395" i="38" s="1"/>
  <c r="M396" i="38"/>
  <c r="M395" i="38" s="1"/>
  <c r="N396" i="38"/>
  <c r="O396" i="38"/>
  <c r="P396" i="38"/>
  <c r="P395" i="38" s="1"/>
  <c r="Q396" i="38"/>
  <c r="Q395" i="38" s="1"/>
  <c r="R396" i="38"/>
  <c r="S396" i="38"/>
  <c r="T396" i="38"/>
  <c r="T395" i="38" s="1"/>
  <c r="U396" i="38"/>
  <c r="U395" i="38" s="1"/>
  <c r="V402" i="38"/>
  <c r="M402" i="38"/>
  <c r="N402" i="38"/>
  <c r="O402" i="38"/>
  <c r="P402" i="38"/>
  <c r="Q402" i="38"/>
  <c r="R402" i="38"/>
  <c r="S402" i="38"/>
  <c r="T402" i="38"/>
  <c r="U402" i="38"/>
  <c r="L402" i="38"/>
  <c r="V378" i="38"/>
  <c r="M378" i="38"/>
  <c r="N378" i="38"/>
  <c r="O378" i="38"/>
  <c r="P378" i="38"/>
  <c r="Q378" i="38"/>
  <c r="R378" i="38"/>
  <c r="S378" i="38"/>
  <c r="T378" i="38"/>
  <c r="U378" i="38"/>
  <c r="L378" i="38"/>
  <c r="V395" i="38" l="1"/>
  <c r="V396" i="38"/>
  <c r="M193" i="38"/>
  <c r="O193" i="38"/>
  <c r="Q193" i="38"/>
  <c r="S193" i="38"/>
  <c r="U193" i="38"/>
  <c r="W193" i="38"/>
  <c r="M209" i="38"/>
  <c r="O209" i="38"/>
  <c r="O208" i="38" s="1"/>
  <c r="Q209" i="38"/>
  <c r="S209" i="38"/>
  <c r="U209" i="38"/>
  <c r="K248" i="38"/>
  <c r="M212" i="38"/>
  <c r="N212" i="38"/>
  <c r="O212" i="38"/>
  <c r="Q212" i="38"/>
  <c r="R212" i="38"/>
  <c r="S212" i="38"/>
  <c r="U212" i="38"/>
  <c r="V210" i="38"/>
  <c r="S208" i="38"/>
  <c r="T192" i="38"/>
  <c r="T191" i="38"/>
  <c r="R192" i="38"/>
  <c r="R191" i="38"/>
  <c r="P192" i="38"/>
  <c r="P191" i="38"/>
  <c r="M194" i="38"/>
  <c r="M195" i="38"/>
  <c r="O195" i="38"/>
  <c r="Q195" i="38"/>
  <c r="S195" i="38"/>
  <c r="U195" i="38"/>
  <c r="M196" i="38"/>
  <c r="O196" i="38"/>
  <c r="Q196" i="38"/>
  <c r="S196" i="38"/>
  <c r="U196" i="38"/>
  <c r="M197" i="38"/>
  <c r="O197" i="38"/>
  <c r="Q197" i="38"/>
  <c r="S197" i="38"/>
  <c r="U197" i="38"/>
  <c r="N192" i="38"/>
  <c r="N191" i="38"/>
  <c r="L192" i="38"/>
  <c r="L191" i="38"/>
  <c r="U187" i="38"/>
  <c r="U184" i="38" s="1"/>
  <c r="Q184" i="38"/>
  <c r="M187" i="38"/>
  <c r="M184" i="38" s="1"/>
  <c r="O187" i="38"/>
  <c r="O184" i="38" s="1"/>
  <c r="Q187" i="38"/>
  <c r="S187" i="38"/>
  <c r="S184" i="38" s="1"/>
  <c r="K181" i="38"/>
  <c r="L181" i="38"/>
  <c r="M181" i="38"/>
  <c r="N181" i="38"/>
  <c r="O181" i="38"/>
  <c r="P181" i="38"/>
  <c r="Q181" i="38"/>
  <c r="R181" i="38"/>
  <c r="S181" i="38"/>
  <c r="T181" i="38"/>
  <c r="U181" i="38"/>
  <c r="K172" i="38"/>
  <c r="L172" i="38"/>
  <c r="M172" i="38"/>
  <c r="N172" i="38"/>
  <c r="O172" i="38"/>
  <c r="P172" i="38"/>
  <c r="Q172" i="38"/>
  <c r="R172" i="38"/>
  <c r="S172" i="38"/>
  <c r="T172" i="38"/>
  <c r="U172" i="38"/>
  <c r="M170" i="38"/>
  <c r="O170" i="38"/>
  <c r="Q170" i="38"/>
  <c r="S170" i="38"/>
  <c r="U170" i="38"/>
  <c r="V152" i="38"/>
  <c r="V135" i="38"/>
  <c r="V129" i="38"/>
  <c r="T75" i="38"/>
  <c r="R75" i="38"/>
  <c r="P75" i="38"/>
  <c r="N75" i="38"/>
  <c r="L75" i="38"/>
  <c r="T73" i="38"/>
  <c r="R73" i="38"/>
  <c r="P73" i="38"/>
  <c r="N73" i="38"/>
  <c r="L73" i="38"/>
  <c r="V73" i="38" s="1"/>
  <c r="T72" i="38"/>
  <c r="T70" i="38" s="1"/>
  <c r="R72" i="38"/>
  <c r="R197" i="38" s="1"/>
  <c r="P72" i="38"/>
  <c r="P197" i="38" s="1"/>
  <c r="N72" i="38"/>
  <c r="N197" i="38" s="1"/>
  <c r="L72" i="38"/>
  <c r="L197" i="38" s="1"/>
  <c r="T71" i="38"/>
  <c r="R71" i="38"/>
  <c r="P71" i="38"/>
  <c r="P70" i="38" s="1"/>
  <c r="N71" i="38"/>
  <c r="L71" i="38"/>
  <c r="T69" i="38"/>
  <c r="R69" i="38"/>
  <c r="R67" i="38" s="1"/>
  <c r="P69" i="38"/>
  <c r="N69" i="38"/>
  <c r="L69" i="38"/>
  <c r="T68" i="38"/>
  <c r="R68" i="38"/>
  <c r="P68" i="38"/>
  <c r="N68" i="38"/>
  <c r="N67" i="38" s="1"/>
  <c r="L68" i="38"/>
  <c r="T66" i="38"/>
  <c r="T209" i="38" s="1"/>
  <c r="R66" i="38"/>
  <c r="R209" i="38" s="1"/>
  <c r="P66" i="38"/>
  <c r="P209" i="38" s="1"/>
  <c r="N66" i="38"/>
  <c r="N209" i="38" s="1"/>
  <c r="L66" i="38"/>
  <c r="L209" i="38" s="1"/>
  <c r="T65" i="38"/>
  <c r="R65" i="38"/>
  <c r="P65" i="38"/>
  <c r="N65" i="38"/>
  <c r="L65" i="38"/>
  <c r="T64" i="38"/>
  <c r="T196" i="38" s="1"/>
  <c r="R64" i="38"/>
  <c r="R196" i="38" s="1"/>
  <c r="P64" i="38"/>
  <c r="P196" i="38" s="1"/>
  <c r="N64" i="38"/>
  <c r="N59" i="38" s="1"/>
  <c r="L64" i="38"/>
  <c r="L196" i="38" s="1"/>
  <c r="T58" i="38"/>
  <c r="T199" i="38" s="1"/>
  <c r="R58" i="38"/>
  <c r="P58" i="38"/>
  <c r="N58" i="38"/>
  <c r="L58" i="38"/>
  <c r="L50" i="38" s="1"/>
  <c r="T57" i="38"/>
  <c r="T195" i="38" s="1"/>
  <c r="R57" i="38"/>
  <c r="P57" i="38"/>
  <c r="P195" i="38" s="1"/>
  <c r="N57" i="38"/>
  <c r="N195" i="38" s="1"/>
  <c r="L57" i="38"/>
  <c r="L195" i="38" s="1"/>
  <c r="V49" i="38"/>
  <c r="V43" i="38"/>
  <c r="V34" i="38"/>
  <c r="V28" i="38"/>
  <c r="T54" i="38"/>
  <c r="T187" i="38" s="1"/>
  <c r="T184" i="38" s="1"/>
  <c r="R54" i="38"/>
  <c r="R187" i="38" s="1"/>
  <c r="R184" i="38" s="1"/>
  <c r="P54" i="38"/>
  <c r="P26" i="38" s="1"/>
  <c r="P170" i="38" s="1"/>
  <c r="N54" i="38"/>
  <c r="N26" i="38" s="1"/>
  <c r="N170" i="38" s="1"/>
  <c r="L54" i="38"/>
  <c r="L187" i="38" s="1"/>
  <c r="L184" i="38" s="1"/>
  <c r="R41" i="38"/>
  <c r="N41" i="38"/>
  <c r="L41" i="38"/>
  <c r="L35" i="38" s="1"/>
  <c r="T26" i="38"/>
  <c r="T20" i="38" s="1"/>
  <c r="R26" i="38"/>
  <c r="R20" i="38" s="1"/>
  <c r="L26" i="38"/>
  <c r="L170" i="38" s="1"/>
  <c r="T151" i="38"/>
  <c r="T120" i="38"/>
  <c r="T212" i="38" s="1"/>
  <c r="T114" i="38"/>
  <c r="T144" i="38" s="1"/>
  <c r="T100" i="38"/>
  <c r="T93" i="38" s="1"/>
  <c r="T94" i="38"/>
  <c r="T92" i="38"/>
  <c r="T86" i="38"/>
  <c r="T59" i="38"/>
  <c r="R151" i="38"/>
  <c r="R150" i="38"/>
  <c r="R120" i="38"/>
  <c r="R114" i="38"/>
  <c r="R144" i="38" s="1"/>
  <c r="R100" i="38"/>
  <c r="R94" i="38"/>
  <c r="R93" i="38" s="1"/>
  <c r="R92" i="38"/>
  <c r="R86" i="38"/>
  <c r="R59" i="38"/>
  <c r="P151" i="38"/>
  <c r="P120" i="38"/>
  <c r="P150" i="38" s="1"/>
  <c r="P114" i="38"/>
  <c r="P144" i="38" s="1"/>
  <c r="P100" i="38"/>
  <c r="P94" i="38"/>
  <c r="P93" i="38" s="1"/>
  <c r="P92" i="38"/>
  <c r="P86" i="38"/>
  <c r="N151" i="38"/>
  <c r="N150" i="38"/>
  <c r="N120" i="38"/>
  <c r="N114" i="38"/>
  <c r="N144" i="38" s="1"/>
  <c r="N100" i="38"/>
  <c r="N94" i="38"/>
  <c r="N93" i="38" s="1"/>
  <c r="N92" i="38"/>
  <c r="V92" i="38" s="1"/>
  <c r="N86" i="38"/>
  <c r="N70" i="38"/>
  <c r="L151" i="38"/>
  <c r="L120" i="38"/>
  <c r="L212" i="38" s="1"/>
  <c r="L114" i="38"/>
  <c r="L100" i="38"/>
  <c r="V100" i="38" s="1"/>
  <c r="L94" i="38"/>
  <c r="V94" i="38" s="1"/>
  <c r="L93" i="38"/>
  <c r="L92" i="38"/>
  <c r="L86" i="38"/>
  <c r="L70" i="38"/>
  <c r="L59" i="38"/>
  <c r="Q427" i="38"/>
  <c r="P427" i="38"/>
  <c r="Q372" i="38"/>
  <c r="Q371" i="38" s="1"/>
  <c r="Q370" i="38" s="1"/>
  <c r="Q369" i="38" s="1"/>
  <c r="P372" i="38"/>
  <c r="P371" i="38" s="1"/>
  <c r="P370" i="38" s="1"/>
  <c r="P369" i="38" s="1"/>
  <c r="Q151" i="38"/>
  <c r="Q150" i="38"/>
  <c r="Q93" i="38"/>
  <c r="Q92" i="38"/>
  <c r="Q59" i="38"/>
  <c r="Q199" i="38"/>
  <c r="Q50" i="38"/>
  <c r="Q35" i="38"/>
  <c r="Q347" i="38"/>
  <c r="Q20" i="38"/>
  <c r="U427" i="38"/>
  <c r="T427" i="38"/>
  <c r="U372" i="38"/>
  <c r="U371" i="38" s="1"/>
  <c r="T372" i="38"/>
  <c r="T371" i="38" s="1"/>
  <c r="T370" i="38" s="1"/>
  <c r="U151" i="38"/>
  <c r="U93" i="38"/>
  <c r="U92" i="38"/>
  <c r="U199" i="38"/>
  <c r="U59" i="38"/>
  <c r="U35" i="38"/>
  <c r="U347" i="38"/>
  <c r="K427" i="38"/>
  <c r="K396" i="38"/>
  <c r="K395" i="38" s="1"/>
  <c r="K370" i="38" s="1"/>
  <c r="K369" i="38" s="1"/>
  <c r="K209" i="38" s="1"/>
  <c r="K208" i="38" s="1"/>
  <c r="K207" i="38" s="1"/>
  <c r="K240" i="38" s="1"/>
  <c r="K372" i="38"/>
  <c r="K371" i="38"/>
  <c r="J197" i="38"/>
  <c r="J196" i="38"/>
  <c r="J195" i="38"/>
  <c r="J192" i="38"/>
  <c r="J191" i="38"/>
  <c r="J181" i="38"/>
  <c r="K212" i="38"/>
  <c r="K210" i="38"/>
  <c r="K197" i="38"/>
  <c r="K196" i="38"/>
  <c r="K195" i="38"/>
  <c r="K191" i="38"/>
  <c r="K187" i="38"/>
  <c r="K184" i="38" s="1"/>
  <c r="K151" i="38"/>
  <c r="K120" i="38"/>
  <c r="K150" i="38" s="1"/>
  <c r="K114" i="38"/>
  <c r="K144" i="38" s="1"/>
  <c r="K100" i="38"/>
  <c r="K94" i="38"/>
  <c r="K93" i="38" s="1"/>
  <c r="K92" i="38"/>
  <c r="K86" i="38"/>
  <c r="K73" i="38"/>
  <c r="K71" i="38"/>
  <c r="K70" i="38" s="1"/>
  <c r="K67" i="38"/>
  <c r="K65" i="38"/>
  <c r="K59" i="38"/>
  <c r="K58" i="38"/>
  <c r="K50" i="38" s="1"/>
  <c r="K54" i="38"/>
  <c r="K41" i="38"/>
  <c r="K35" i="38" s="1"/>
  <c r="K26" i="38"/>
  <c r="K84" i="38" s="1"/>
  <c r="K20" i="38"/>
  <c r="V114" i="38" l="1"/>
  <c r="V86" i="38"/>
  <c r="L144" i="38"/>
  <c r="V144" i="38" s="1"/>
  <c r="K347" i="38"/>
  <c r="L150" i="38"/>
  <c r="V150" i="38" s="1"/>
  <c r="P59" i="38"/>
  <c r="L67" i="38"/>
  <c r="T150" i="38"/>
  <c r="R50" i="38"/>
  <c r="T208" i="38"/>
  <c r="T207" i="38" s="1"/>
  <c r="V120" i="38"/>
  <c r="K199" i="38"/>
  <c r="L20" i="38"/>
  <c r="T67" i="38"/>
  <c r="V71" i="38"/>
  <c r="K170" i="38"/>
  <c r="K308" i="38" s="1"/>
  <c r="P212" i="38"/>
  <c r="V212" i="38" s="1"/>
  <c r="V54" i="38"/>
  <c r="V187" i="38" s="1"/>
  <c r="V184" i="38" s="1"/>
  <c r="L84" i="38"/>
  <c r="L78" i="38" s="1"/>
  <c r="L106" i="38" s="1"/>
  <c r="L157" i="38" s="1"/>
  <c r="N50" i="38"/>
  <c r="P50" i="38"/>
  <c r="P41" i="38"/>
  <c r="T41" i="38"/>
  <c r="V41" i="38" s="1"/>
  <c r="V192" i="38"/>
  <c r="V57" i="38"/>
  <c r="V72" i="38"/>
  <c r="T170" i="38"/>
  <c r="T308" i="38" s="1"/>
  <c r="P187" i="38"/>
  <c r="P184" i="38" s="1"/>
  <c r="R195" i="38"/>
  <c r="V195" i="38" s="1"/>
  <c r="R170" i="38"/>
  <c r="N187" i="38"/>
  <c r="N184" i="38" s="1"/>
  <c r="T197" i="38"/>
  <c r="V197" i="38" s="1"/>
  <c r="N196" i="38"/>
  <c r="V196" i="38" s="1"/>
  <c r="V191" i="38"/>
  <c r="V209" i="38"/>
  <c r="L208" i="38"/>
  <c r="R208" i="38"/>
  <c r="N208" i="38"/>
  <c r="U208" i="38"/>
  <c r="Q208" i="38"/>
  <c r="Q207" i="38" s="1"/>
  <c r="M208" i="38"/>
  <c r="P164" i="38"/>
  <c r="V75" i="38"/>
  <c r="R70" i="38"/>
  <c r="V70" i="38" s="1"/>
  <c r="V69" i="38"/>
  <c r="P67" i="38"/>
  <c r="V68" i="38"/>
  <c r="V66" i="38"/>
  <c r="V65" i="38"/>
  <c r="V64" i="38"/>
  <c r="T50" i="38"/>
  <c r="V58" i="38"/>
  <c r="V199" i="38" s="1"/>
  <c r="P20" i="38"/>
  <c r="P347" i="38"/>
  <c r="P84" i="38"/>
  <c r="P112" i="38" s="1"/>
  <c r="N20" i="38"/>
  <c r="V26" i="38"/>
  <c r="T347" i="38"/>
  <c r="T35" i="38"/>
  <c r="R35" i="38"/>
  <c r="P199" i="38"/>
  <c r="P35" i="38"/>
  <c r="N35" i="38"/>
  <c r="T369" i="38"/>
  <c r="P308" i="38"/>
  <c r="Q136" i="38"/>
  <c r="Q78" i="38"/>
  <c r="Q106" i="38" s="1"/>
  <c r="U370" i="38"/>
  <c r="U369" i="38" s="1"/>
  <c r="U20" i="38"/>
  <c r="U50" i="38"/>
  <c r="U150" i="38"/>
  <c r="K112" i="38"/>
  <c r="K78" i="38"/>
  <c r="K106" i="38" s="1"/>
  <c r="J427" i="38"/>
  <c r="J396" i="38"/>
  <c r="J395" i="38" s="1"/>
  <c r="J372" i="38"/>
  <c r="J371" i="38" s="1"/>
  <c r="J152" i="38"/>
  <c r="J151" i="38" s="1"/>
  <c r="J100" i="38"/>
  <c r="J94" i="38"/>
  <c r="J93" i="38"/>
  <c r="J92" i="38"/>
  <c r="J120" i="38" s="1"/>
  <c r="J73" i="38"/>
  <c r="J71" i="38"/>
  <c r="J70" i="38"/>
  <c r="J67" i="38"/>
  <c r="J65" i="38"/>
  <c r="J59" i="38"/>
  <c r="J58" i="38"/>
  <c r="J199" i="38" s="1"/>
  <c r="J54" i="38"/>
  <c r="J28" i="38"/>
  <c r="I427" i="38"/>
  <c r="I395" i="38"/>
  <c r="I372" i="38"/>
  <c r="I371" i="38" s="1"/>
  <c r="I370" i="38" s="1"/>
  <c r="I369" i="38" s="1"/>
  <c r="I209" i="38" s="1"/>
  <c r="I208" i="38" s="1"/>
  <c r="I207" i="38" s="1"/>
  <c r="I240" i="38" s="1"/>
  <c r="I347" i="38"/>
  <c r="I308" i="38"/>
  <c r="I197" i="38"/>
  <c r="I195" i="38"/>
  <c r="I194" i="38"/>
  <c r="I192" i="38"/>
  <c r="I191" i="38"/>
  <c r="I184" i="38"/>
  <c r="I181" i="38"/>
  <c r="I164" i="38" s="1"/>
  <c r="I302" i="38" s="1"/>
  <c r="I120" i="38"/>
  <c r="I114" i="38"/>
  <c r="I100" i="38"/>
  <c r="I94" i="38"/>
  <c r="I93" i="38" s="1"/>
  <c r="I92" i="38"/>
  <c r="I86" i="38"/>
  <c r="I84" i="38"/>
  <c r="I78" i="38" s="1"/>
  <c r="I106" i="38" s="1"/>
  <c r="I73" i="38"/>
  <c r="I71" i="38"/>
  <c r="I67" i="38"/>
  <c r="I193" i="38" s="1"/>
  <c r="I65" i="38"/>
  <c r="I64" i="38"/>
  <c r="I59" i="38"/>
  <c r="I58" i="38"/>
  <c r="I50" i="38" s="1"/>
  <c r="I35" i="38"/>
  <c r="I20" i="38"/>
  <c r="E18" i="21"/>
  <c r="Z45" i="18"/>
  <c r="Y45" i="18"/>
  <c r="X45" i="18"/>
  <c r="W45" i="18"/>
  <c r="V45" i="18"/>
  <c r="U45" i="18"/>
  <c r="Z44" i="18"/>
  <c r="Y44" i="18"/>
  <c r="X44" i="18"/>
  <c r="W44" i="18"/>
  <c r="V44" i="18"/>
  <c r="U44" i="18"/>
  <c r="Z37" i="18"/>
  <c r="Y37" i="18"/>
  <c r="X37" i="18"/>
  <c r="W37" i="18"/>
  <c r="V37" i="18"/>
  <c r="U37" i="18"/>
  <c r="I199" i="38" l="1"/>
  <c r="I182" i="38" s="1"/>
  <c r="K164" i="38"/>
  <c r="K302" i="38" s="1"/>
  <c r="I70" i="38"/>
  <c r="I112" i="38"/>
  <c r="J370" i="38"/>
  <c r="J369" i="38" s="1"/>
  <c r="J209" i="38" s="1"/>
  <c r="J86" i="38"/>
  <c r="J210" i="38"/>
  <c r="J172" i="38"/>
  <c r="T164" i="38"/>
  <c r="T302" i="38" s="1"/>
  <c r="P78" i="38"/>
  <c r="P106" i="38" s="1"/>
  <c r="P157" i="38" s="1"/>
  <c r="P208" i="38"/>
  <c r="P207" i="38" s="1"/>
  <c r="P240" i="38" s="1"/>
  <c r="J50" i="38"/>
  <c r="J187" i="38"/>
  <c r="J184" i="38" s="1"/>
  <c r="V67" i="38"/>
  <c r="V20" i="38"/>
  <c r="V170" i="38"/>
  <c r="P302" i="38"/>
  <c r="L112" i="38"/>
  <c r="L127" i="38" s="1"/>
  <c r="Q240" i="38"/>
  <c r="T240" i="38"/>
  <c r="U207" i="38"/>
  <c r="T84" i="38"/>
  <c r="R84" i="38"/>
  <c r="P127" i="38"/>
  <c r="P142" i="38" s="1"/>
  <c r="P136" i="38" s="1"/>
  <c r="N84" i="38"/>
  <c r="V84" i="38" s="1"/>
  <c r="V78" i="38" s="1"/>
  <c r="L121" i="38"/>
  <c r="L193" i="38" s="1"/>
  <c r="Q121" i="38"/>
  <c r="Q308" i="38"/>
  <c r="Q164" i="38"/>
  <c r="U308" i="38"/>
  <c r="U164" i="38"/>
  <c r="U78" i="38"/>
  <c r="U106" i="38" s="1"/>
  <c r="K127" i="38"/>
  <c r="K142" i="38" s="1"/>
  <c r="K136" i="38" s="1"/>
  <c r="K157" i="38"/>
  <c r="K121" i="38"/>
  <c r="J114" i="38"/>
  <c r="J41" i="38"/>
  <c r="J35" i="38" s="1"/>
  <c r="J135" i="38"/>
  <c r="J150" i="38" s="1"/>
  <c r="J26" i="38"/>
  <c r="I157" i="38"/>
  <c r="I136" i="38"/>
  <c r="I152" i="38" s="1"/>
  <c r="I151" i="38" s="1"/>
  <c r="S427" i="38"/>
  <c r="R427" i="38"/>
  <c r="O427" i="38"/>
  <c r="W427" i="38" s="1"/>
  <c r="N427" i="38"/>
  <c r="V427" i="38" s="1"/>
  <c r="M427" i="38"/>
  <c r="L427" i="38"/>
  <c r="W409" i="38"/>
  <c r="V409" i="38"/>
  <c r="W402" i="38"/>
  <c r="W396" i="38" s="1"/>
  <c r="W395" i="38" s="1"/>
  <c r="W378" i="38"/>
  <c r="W372" i="38" s="1"/>
  <c r="W371" i="38" s="1"/>
  <c r="V372" i="38"/>
  <c r="V371" i="38" s="1"/>
  <c r="S372" i="38"/>
  <c r="S371" i="38" s="1"/>
  <c r="R372" i="38"/>
  <c r="R371" i="38" s="1"/>
  <c r="O372" i="38"/>
  <c r="O371" i="38" s="1"/>
  <c r="N372" i="38"/>
  <c r="N371" i="38" s="1"/>
  <c r="M372" i="38"/>
  <c r="M371" i="38" s="1"/>
  <c r="L372" i="38"/>
  <c r="L371" i="38" s="1"/>
  <c r="L370" i="38" s="1"/>
  <c r="L369" i="38" s="1"/>
  <c r="M347" i="38"/>
  <c r="L347" i="38"/>
  <c r="W192" i="38"/>
  <c r="W191" i="38"/>
  <c r="M164" i="38"/>
  <c r="L164" i="38"/>
  <c r="L308" i="38"/>
  <c r="O151" i="38"/>
  <c r="S151" i="38"/>
  <c r="W212" i="38"/>
  <c r="W105" i="38"/>
  <c r="V105" i="38"/>
  <c r="W104" i="38"/>
  <c r="V104" i="38"/>
  <c r="S93" i="38"/>
  <c r="M93" i="38"/>
  <c r="W99" i="38"/>
  <c r="W94" i="38" s="1"/>
  <c r="V99" i="38"/>
  <c r="O93" i="38"/>
  <c r="S92" i="38"/>
  <c r="O92" i="38"/>
  <c r="M92" i="38"/>
  <c r="W75" i="38"/>
  <c r="W72" i="38"/>
  <c r="W197" i="38" s="1"/>
  <c r="W69" i="38"/>
  <c r="W68" i="38"/>
  <c r="W67" i="38" s="1"/>
  <c r="W66" i="38"/>
  <c r="W65" i="38"/>
  <c r="W64" i="38"/>
  <c r="W196" i="38" s="1"/>
  <c r="S59" i="38"/>
  <c r="O59" i="38"/>
  <c r="M59" i="38"/>
  <c r="O199" i="38"/>
  <c r="W58" i="38"/>
  <c r="W57" i="38"/>
  <c r="W195" i="38" s="1"/>
  <c r="S50" i="38"/>
  <c r="M50" i="38"/>
  <c r="W49" i="38"/>
  <c r="W43" i="38"/>
  <c r="M35" i="38"/>
  <c r="W34" i="38"/>
  <c r="W181" i="38" s="1"/>
  <c r="V181" i="38"/>
  <c r="W28" i="38"/>
  <c r="V172" i="38"/>
  <c r="M20" i="38"/>
  <c r="P121" i="38" l="1"/>
  <c r="P194" i="38" s="1"/>
  <c r="I246" i="38"/>
  <c r="I239" i="38"/>
  <c r="J170" i="38"/>
  <c r="J347" i="38"/>
  <c r="Q182" i="38"/>
  <c r="Q246" i="38" s="1"/>
  <c r="Q194" i="38"/>
  <c r="W59" i="38"/>
  <c r="K193" i="38"/>
  <c r="K182" i="38" s="1"/>
  <c r="K246" i="38" s="1"/>
  <c r="K194" i="38"/>
  <c r="K239" i="38"/>
  <c r="K247" i="38" s="1"/>
  <c r="L248" i="38" s="1"/>
  <c r="J208" i="38"/>
  <c r="J207" i="38" s="1"/>
  <c r="J240" i="38" s="1"/>
  <c r="L142" i="38"/>
  <c r="L194" i="38"/>
  <c r="U240" i="38"/>
  <c r="T112" i="38"/>
  <c r="T78" i="38"/>
  <c r="T106" i="38" s="1"/>
  <c r="R112" i="38"/>
  <c r="R78" i="38"/>
  <c r="R106" i="38" s="1"/>
  <c r="N112" i="38"/>
  <c r="N78" i="38"/>
  <c r="N106" i="38" s="1"/>
  <c r="V93" i="38"/>
  <c r="V106" i="38" s="1"/>
  <c r="V157" i="38" s="1"/>
  <c r="V370" i="38"/>
  <c r="V369" i="38" s="1"/>
  <c r="N370" i="38"/>
  <c r="N369" i="38" s="1"/>
  <c r="M370" i="38"/>
  <c r="M369" i="38" s="1"/>
  <c r="W370" i="38"/>
  <c r="W369" i="38" s="1"/>
  <c r="S370" i="38"/>
  <c r="S369" i="38" s="1"/>
  <c r="R370" i="38"/>
  <c r="R369" i="38" s="1"/>
  <c r="O370" i="38"/>
  <c r="O369" i="38" s="1"/>
  <c r="W93" i="38"/>
  <c r="W86" i="38"/>
  <c r="S150" i="38"/>
  <c r="S207" i="38"/>
  <c r="M78" i="38"/>
  <c r="M106" i="38" s="1"/>
  <c r="Q302" i="38"/>
  <c r="U136" i="38"/>
  <c r="U121" i="38"/>
  <c r="U302" i="38"/>
  <c r="J129" i="38"/>
  <c r="J144" i="38" s="1"/>
  <c r="J20" i="38"/>
  <c r="J84" i="38"/>
  <c r="O135" i="38"/>
  <c r="W135" i="38" s="1"/>
  <c r="V59" i="38"/>
  <c r="O50" i="38"/>
  <c r="R199" i="38"/>
  <c r="W71" i="38"/>
  <c r="W73" i="38"/>
  <c r="W54" i="38"/>
  <c r="S199" i="38"/>
  <c r="W210" i="38"/>
  <c r="N199" i="38"/>
  <c r="W92" i="38"/>
  <c r="W120" i="38"/>
  <c r="V208" i="38"/>
  <c r="W209" i="38"/>
  <c r="M207" i="38"/>
  <c r="L207" i="38"/>
  <c r="R207" i="38"/>
  <c r="R347" i="38"/>
  <c r="L302" i="38"/>
  <c r="W172" i="38"/>
  <c r="W114" i="38"/>
  <c r="S35" i="38"/>
  <c r="L199" i="38"/>
  <c r="M199" i="38"/>
  <c r="M182" i="38" s="1"/>
  <c r="N207" i="38"/>
  <c r="P193" i="38" l="1"/>
  <c r="P182" i="38" s="1"/>
  <c r="J164" i="38"/>
  <c r="J308" i="38"/>
  <c r="U194" i="38"/>
  <c r="I247" i="38"/>
  <c r="I249" i="38" s="1"/>
  <c r="V112" i="38"/>
  <c r="P246" i="38"/>
  <c r="P239" i="38"/>
  <c r="L136" i="38"/>
  <c r="M240" i="38"/>
  <c r="M246" i="38"/>
  <c r="N240" i="38"/>
  <c r="R240" i="38"/>
  <c r="S240" i="38"/>
  <c r="L240" i="38"/>
  <c r="T121" i="38"/>
  <c r="T193" i="38" s="1"/>
  <c r="T157" i="38"/>
  <c r="T127" i="38"/>
  <c r="T142" i="38" s="1"/>
  <c r="R121" i="38"/>
  <c r="R193" i="38" s="1"/>
  <c r="R157" i="38"/>
  <c r="R127" i="38"/>
  <c r="R142" i="38" s="1"/>
  <c r="R136" i="38" s="1"/>
  <c r="N121" i="38"/>
  <c r="N193" i="38" s="1"/>
  <c r="N157" i="38"/>
  <c r="N127" i="38"/>
  <c r="V207" i="38"/>
  <c r="O150" i="38"/>
  <c r="M136" i="38"/>
  <c r="O207" i="38"/>
  <c r="Q239" i="38"/>
  <c r="Q247" i="38" s="1"/>
  <c r="U182" i="38"/>
  <c r="U246" i="38" s="1"/>
  <c r="W70" i="38"/>
  <c r="J112" i="38"/>
  <c r="J78" i="38"/>
  <c r="J106" i="38" s="1"/>
  <c r="M239" i="38"/>
  <c r="R308" i="38"/>
  <c r="R164" i="38"/>
  <c r="S347" i="38"/>
  <c r="S20" i="38"/>
  <c r="W208" i="38"/>
  <c r="W207" i="38" s="1"/>
  <c r="W129" i="38"/>
  <c r="W187" i="38"/>
  <c r="W184" i="38" s="1"/>
  <c r="W50" i="38"/>
  <c r="V50" i="38"/>
  <c r="V35" i="38"/>
  <c r="V151" i="38"/>
  <c r="O35" i="38"/>
  <c r="W41" i="38"/>
  <c r="W35" i="38" s="1"/>
  <c r="O347" i="38"/>
  <c r="O20" i="38"/>
  <c r="W26" i="38"/>
  <c r="N347" i="38"/>
  <c r="W199" i="38"/>
  <c r="P247" i="38" l="1"/>
  <c r="V127" i="38"/>
  <c r="J302" i="38"/>
  <c r="R194" i="38"/>
  <c r="R182" i="38"/>
  <c r="R246" i="38" s="1"/>
  <c r="N194" i="38"/>
  <c r="V121" i="38"/>
  <c r="V193" i="38" s="1"/>
  <c r="T136" i="38"/>
  <c r="N142" i="38"/>
  <c r="V142" i="38" s="1"/>
  <c r="T194" i="38"/>
  <c r="T182" i="38"/>
  <c r="W240" i="38"/>
  <c r="O240" i="38"/>
  <c r="M247" i="38"/>
  <c r="V240" i="38"/>
  <c r="U239" i="38"/>
  <c r="U247" i="38" s="1"/>
  <c r="J121" i="38"/>
  <c r="J157" i="38"/>
  <c r="J127" i="38"/>
  <c r="J142" i="38" s="1"/>
  <c r="N308" i="38"/>
  <c r="N164" i="38"/>
  <c r="O308" i="38"/>
  <c r="O164" i="38"/>
  <c r="S78" i="38"/>
  <c r="S106" i="38" s="1"/>
  <c r="V347" i="38"/>
  <c r="O78" i="38"/>
  <c r="O106" i="38" s="1"/>
  <c r="W152" i="38"/>
  <c r="W151" i="38" s="1"/>
  <c r="M151" i="38"/>
  <c r="S308" i="38"/>
  <c r="S164" i="38"/>
  <c r="W347" i="38"/>
  <c r="W170" i="38"/>
  <c r="W20" i="38"/>
  <c r="W84" i="38"/>
  <c r="R302" i="38"/>
  <c r="R239" i="38" l="1"/>
  <c r="R247" i="38" s="1"/>
  <c r="J136" i="38"/>
  <c r="J194" i="38"/>
  <c r="J193" i="38"/>
  <c r="J182" i="38" s="1"/>
  <c r="J239" i="38" s="1"/>
  <c r="V194" i="38"/>
  <c r="N136" i="38"/>
  <c r="V136" i="38" s="1"/>
  <c r="T246" i="38"/>
  <c r="T239" i="38"/>
  <c r="T247" i="38" s="1"/>
  <c r="N182" i="38"/>
  <c r="N246" i="38" s="1"/>
  <c r="W112" i="38"/>
  <c r="W78" i="38"/>
  <c r="W106" i="38" s="1"/>
  <c r="W157" i="38" s="1"/>
  <c r="S121" i="38"/>
  <c r="S302" i="38"/>
  <c r="O121" i="38"/>
  <c r="O302" i="38"/>
  <c r="W308" i="38"/>
  <c r="W164" i="38"/>
  <c r="V308" i="38"/>
  <c r="V164" i="38"/>
  <c r="S136" i="38"/>
  <c r="N302" i="38"/>
  <c r="N239" i="38" l="1"/>
  <c r="S194" i="38"/>
  <c r="S182" i="38"/>
  <c r="S246" i="38" s="1"/>
  <c r="O136" i="38"/>
  <c r="O194" i="38"/>
  <c r="N247" i="38"/>
  <c r="V302" i="38"/>
  <c r="W302" i="38"/>
  <c r="W136" i="38"/>
  <c r="W127" i="38"/>
  <c r="O182" i="38"/>
  <c r="O246" i="38" s="1"/>
  <c r="S239" i="38" l="1"/>
  <c r="S247" i="38" s="1"/>
  <c r="O239" i="38"/>
  <c r="O247" i="38" s="1"/>
  <c r="W194" i="38"/>
  <c r="W182" i="38"/>
  <c r="W246" i="38" s="1"/>
  <c r="W239" i="38" l="1"/>
  <c r="W247" i="38" l="1"/>
  <c r="Q41" i="20"/>
  <c r="R41" i="20"/>
  <c r="S41" i="20"/>
  <c r="U41" i="20"/>
  <c r="V41" i="20"/>
  <c r="W41" i="20"/>
  <c r="Y41" i="20"/>
  <c r="Z41" i="20"/>
  <c r="AA41" i="20"/>
  <c r="Q42" i="20"/>
  <c r="R42" i="20"/>
  <c r="S42" i="20"/>
  <c r="T42" i="20"/>
  <c r="T41" i="20" s="1"/>
  <c r="U42" i="20"/>
  <c r="V42" i="20"/>
  <c r="W42" i="20"/>
  <c r="X42" i="20"/>
  <c r="X41" i="20" s="1"/>
  <c r="Y42" i="20"/>
  <c r="Z42" i="20"/>
  <c r="AA42" i="20"/>
  <c r="P42" i="20"/>
  <c r="P68" i="20"/>
  <c r="Q68" i="20"/>
  <c r="R68" i="20"/>
  <c r="S68" i="20"/>
  <c r="T68" i="20"/>
  <c r="U68" i="20"/>
  <c r="V68" i="20"/>
  <c r="W68" i="20"/>
  <c r="X68" i="20"/>
  <c r="Y68" i="20"/>
  <c r="Z68" i="20"/>
  <c r="O48" i="20"/>
  <c r="P48" i="20"/>
  <c r="S48" i="20"/>
  <c r="T48" i="20"/>
  <c r="W48" i="20"/>
  <c r="X48" i="20"/>
  <c r="AA48" i="20"/>
  <c r="N49" i="20"/>
  <c r="N48" i="20" s="1"/>
  <c r="O49" i="20"/>
  <c r="P49" i="20"/>
  <c r="Q49" i="20"/>
  <c r="Q48" i="20" s="1"/>
  <c r="R49" i="20"/>
  <c r="R48" i="20" s="1"/>
  <c r="S49" i="20"/>
  <c r="T49" i="20"/>
  <c r="U49" i="20"/>
  <c r="U48" i="20" s="1"/>
  <c r="V49" i="20"/>
  <c r="V48" i="20" s="1"/>
  <c r="W49" i="20"/>
  <c r="X49" i="20"/>
  <c r="Y49" i="20"/>
  <c r="Y48" i="20" s="1"/>
  <c r="Z49" i="20"/>
  <c r="Z48" i="20" s="1"/>
  <c r="AA49" i="20"/>
  <c r="G12" i="20"/>
  <c r="K12" i="20"/>
  <c r="E13" i="20"/>
  <c r="E12" i="20" s="1"/>
  <c r="F13" i="20"/>
  <c r="F12" i="20" s="1"/>
  <c r="G13" i="20"/>
  <c r="H13" i="20"/>
  <c r="H12" i="20" s="1"/>
  <c r="I13" i="20"/>
  <c r="I12" i="20" s="1"/>
  <c r="J13" i="20"/>
  <c r="J12" i="20" s="1"/>
  <c r="K13" i="20"/>
  <c r="L13" i="20"/>
  <c r="L12" i="20" s="1"/>
  <c r="M13" i="20"/>
  <c r="M12" i="20" s="1"/>
  <c r="D12" i="20"/>
  <c r="D13" i="20"/>
  <c r="E34" i="20"/>
  <c r="F34" i="20"/>
  <c r="G34" i="20"/>
  <c r="H34" i="20"/>
  <c r="I34" i="20"/>
  <c r="J34" i="20"/>
  <c r="K34" i="20"/>
  <c r="L34" i="20"/>
  <c r="M34" i="20"/>
  <c r="E48" i="20"/>
  <c r="F48" i="20"/>
  <c r="G48" i="20"/>
  <c r="H48" i="20"/>
  <c r="I48" i="20"/>
  <c r="J48" i="20"/>
  <c r="K48" i="20"/>
  <c r="L48" i="20"/>
  <c r="M48" i="20"/>
  <c r="D48" i="20"/>
  <c r="D34" i="20" s="1"/>
  <c r="E35" i="20"/>
  <c r="F35" i="20"/>
  <c r="G35" i="20"/>
  <c r="H35" i="20"/>
  <c r="I35" i="20"/>
  <c r="J35" i="20"/>
  <c r="K35" i="20"/>
  <c r="L35" i="20"/>
  <c r="M35" i="20"/>
  <c r="E36" i="20"/>
  <c r="F36" i="20"/>
  <c r="G36" i="20"/>
  <c r="H36" i="20"/>
  <c r="I36" i="20"/>
  <c r="J36" i="20"/>
  <c r="K36" i="20"/>
  <c r="M36" i="20"/>
  <c r="D36" i="20"/>
  <c r="E42" i="20"/>
  <c r="F42" i="20"/>
  <c r="G42" i="20"/>
  <c r="H42" i="20"/>
  <c r="I42" i="20"/>
  <c r="J42" i="20"/>
  <c r="K42" i="20"/>
  <c r="M42" i="20"/>
  <c r="D42" i="20"/>
  <c r="M49" i="20"/>
  <c r="E49" i="20"/>
  <c r="F49" i="20"/>
  <c r="G49" i="20"/>
  <c r="H49" i="20"/>
  <c r="I49" i="20"/>
  <c r="J49" i="20"/>
  <c r="K49" i="20"/>
  <c r="D49" i="20"/>
  <c r="E68" i="20"/>
  <c r="F68" i="20"/>
  <c r="G68" i="20"/>
  <c r="H68" i="20"/>
  <c r="I68" i="20"/>
  <c r="J68" i="20"/>
  <c r="K68" i="20"/>
  <c r="M68" i="20"/>
  <c r="N68" i="20"/>
  <c r="O68" i="20"/>
  <c r="AA68" i="20"/>
  <c r="D68" i="20"/>
  <c r="N50" i="20"/>
  <c r="N46" i="20"/>
  <c r="N44" i="20"/>
  <c r="N43" i="20"/>
  <c r="N39" i="20"/>
  <c r="N38" i="20"/>
  <c r="N37" i="20"/>
  <c r="L51" i="20" l="1"/>
  <c r="L52" i="20"/>
  <c r="L53" i="20"/>
  <c r="L54" i="20"/>
  <c r="L50" i="20"/>
  <c r="L70" i="20"/>
  <c r="L69" i="20"/>
  <c r="M70" i="20"/>
  <c r="M69" i="20"/>
  <c r="M51" i="20"/>
  <c r="M52" i="20"/>
  <c r="M53" i="20"/>
  <c r="M54" i="20"/>
  <c r="M50" i="20"/>
  <c r="M46" i="20"/>
  <c r="M45" i="20"/>
  <c r="M44" i="20"/>
  <c r="M43" i="20"/>
  <c r="M38" i="20"/>
  <c r="M39" i="20"/>
  <c r="M37" i="20"/>
  <c r="D70" i="20"/>
  <c r="D69" i="20"/>
  <c r="D51" i="20"/>
  <c r="D52" i="20"/>
  <c r="D53" i="20"/>
  <c r="D54" i="20"/>
  <c r="D50" i="20"/>
  <c r="D44" i="20"/>
  <c r="D45" i="20"/>
  <c r="D46" i="20"/>
  <c r="D43" i="20"/>
  <c r="D38" i="20"/>
  <c r="D39" i="20"/>
  <c r="D37" i="20"/>
  <c r="K70" i="20"/>
  <c r="J70" i="20"/>
  <c r="I70" i="20"/>
  <c r="F70" i="20"/>
  <c r="AC71" i="18"/>
  <c r="AC54" i="18"/>
  <c r="AC53" i="18"/>
  <c r="AC52" i="18"/>
  <c r="AC51" i="18"/>
  <c r="AC50" i="18"/>
  <c r="AC46" i="18"/>
  <c r="AC45" i="18"/>
  <c r="AC44" i="18"/>
  <c r="AC43" i="18"/>
  <c r="AC39" i="18"/>
  <c r="AC38" i="18"/>
  <c r="AC37" i="18"/>
  <c r="DL74" i="15"/>
  <c r="DM74" i="15"/>
  <c r="DN74" i="15"/>
  <c r="DO74" i="15"/>
  <c r="DP74" i="15"/>
  <c r="DQ74" i="15"/>
  <c r="DR74" i="15"/>
  <c r="DS74" i="15"/>
  <c r="DM73" i="15"/>
  <c r="DN73" i="15"/>
  <c r="DN72" i="15" s="1"/>
  <c r="DO73" i="15"/>
  <c r="DP73" i="15"/>
  <c r="DQ73" i="15"/>
  <c r="DR73" i="15"/>
  <c r="DR72" i="15" s="1"/>
  <c r="DS73" i="15"/>
  <c r="DL73" i="15"/>
  <c r="DL54" i="15"/>
  <c r="DM54" i="15"/>
  <c r="DM52" i="15" s="1"/>
  <c r="DM51" i="15" s="1"/>
  <c r="DN54" i="15"/>
  <c r="DO54" i="15"/>
  <c r="DP54" i="15"/>
  <c r="DQ54" i="15"/>
  <c r="DR54" i="15"/>
  <c r="DS54" i="15"/>
  <c r="DL55" i="15"/>
  <c r="DM55" i="15"/>
  <c r="DN55" i="15"/>
  <c r="DO55" i="15"/>
  <c r="DP55" i="15"/>
  <c r="DQ55" i="15"/>
  <c r="DR55" i="15"/>
  <c r="DS55" i="15"/>
  <c r="DL56" i="15"/>
  <c r="DM56" i="15"/>
  <c r="DN56" i="15"/>
  <c r="DO56" i="15"/>
  <c r="DP56" i="15"/>
  <c r="DQ56" i="15"/>
  <c r="DR56" i="15"/>
  <c r="DS56" i="15"/>
  <c r="DL57" i="15"/>
  <c r="DM57" i="15"/>
  <c r="DN57" i="15"/>
  <c r="DO57" i="15"/>
  <c r="DP57" i="15"/>
  <c r="DQ57" i="15"/>
  <c r="DR57" i="15"/>
  <c r="DS57" i="15"/>
  <c r="DM53" i="15"/>
  <c r="DN53" i="15"/>
  <c r="DN52" i="15" s="1"/>
  <c r="DN51" i="15" s="1"/>
  <c r="DO53" i="15"/>
  <c r="DO52" i="15" s="1"/>
  <c r="DO51" i="15" s="1"/>
  <c r="DP53" i="15"/>
  <c r="DQ53" i="15"/>
  <c r="DR53" i="15"/>
  <c r="DR52" i="15" s="1"/>
  <c r="DR51" i="15" s="1"/>
  <c r="DS53" i="15"/>
  <c r="DS52" i="15" s="1"/>
  <c r="DS51" i="15" s="1"/>
  <c r="DL53" i="15"/>
  <c r="DL47" i="15"/>
  <c r="DM47" i="15"/>
  <c r="DN47" i="15"/>
  <c r="DO47" i="15"/>
  <c r="DP47" i="15"/>
  <c r="DQ47" i="15"/>
  <c r="DR47" i="15"/>
  <c r="DS47" i="15"/>
  <c r="DL48" i="15"/>
  <c r="DM48" i="15"/>
  <c r="DN48" i="15"/>
  <c r="DO48" i="15"/>
  <c r="DP48" i="15"/>
  <c r="DQ48" i="15"/>
  <c r="DR48" i="15"/>
  <c r="DS48" i="15"/>
  <c r="DL49" i="15"/>
  <c r="DM49" i="15"/>
  <c r="DN49" i="15"/>
  <c r="DO49" i="15"/>
  <c r="DP49" i="15"/>
  <c r="DQ49" i="15"/>
  <c r="DR49" i="15"/>
  <c r="DS49" i="15"/>
  <c r="DM46" i="15"/>
  <c r="DN46" i="15"/>
  <c r="DO46" i="15"/>
  <c r="DP46" i="15"/>
  <c r="DQ46" i="15"/>
  <c r="DR46" i="15"/>
  <c r="DS46" i="15"/>
  <c r="DL46" i="15"/>
  <c r="DL41" i="15"/>
  <c r="DM41" i="15"/>
  <c r="DN41" i="15"/>
  <c r="DO41" i="15"/>
  <c r="DP41" i="15"/>
  <c r="DQ41" i="15"/>
  <c r="DR41" i="15"/>
  <c r="DR39" i="15" s="1"/>
  <c r="DR38" i="15" s="1"/>
  <c r="DS41" i="15"/>
  <c r="DL42" i="15"/>
  <c r="DM42" i="15"/>
  <c r="DN42" i="15"/>
  <c r="DO42" i="15"/>
  <c r="DP42" i="15"/>
  <c r="DQ42" i="15"/>
  <c r="DR42" i="15"/>
  <c r="DS42" i="15"/>
  <c r="DM40" i="15"/>
  <c r="DN40" i="15"/>
  <c r="DO40" i="15"/>
  <c r="DP40" i="15"/>
  <c r="DQ40" i="15"/>
  <c r="DR40" i="15"/>
  <c r="DS40" i="15"/>
  <c r="DL40" i="15"/>
  <c r="CW42" i="15"/>
  <c r="CW39" i="15" s="1"/>
  <c r="CW38" i="15" s="1"/>
  <c r="CX42" i="15"/>
  <c r="CY42" i="15"/>
  <c r="CY39" i="15" s="1"/>
  <c r="CY38" i="15" s="1"/>
  <c r="CZ42" i="15"/>
  <c r="DA42" i="15"/>
  <c r="DA39" i="15" s="1"/>
  <c r="DA38" i="15" s="1"/>
  <c r="DB42" i="15"/>
  <c r="DC42" i="15"/>
  <c r="DC39" i="15" s="1"/>
  <c r="DC38" i="15" s="1"/>
  <c r="CV42" i="15"/>
  <c r="CW57" i="15"/>
  <c r="CX57" i="15"/>
  <c r="CX52" i="15" s="1"/>
  <c r="CX51" i="15" s="1"/>
  <c r="CY57" i="15"/>
  <c r="CY52" i="15" s="1"/>
  <c r="CY51" i="15" s="1"/>
  <c r="CZ57" i="15"/>
  <c r="DA57" i="15"/>
  <c r="DB57" i="15"/>
  <c r="DB52" i="15" s="1"/>
  <c r="DB51" i="15" s="1"/>
  <c r="DC57" i="15"/>
  <c r="DC52" i="15" s="1"/>
  <c r="DC51" i="15" s="1"/>
  <c r="CV57" i="15"/>
  <c r="CG74" i="15"/>
  <c r="CH74" i="15"/>
  <c r="CI74" i="15"/>
  <c r="CI72" i="15" s="1"/>
  <c r="CJ74" i="15"/>
  <c r="CK74" i="15"/>
  <c r="CL74" i="15"/>
  <c r="CM74" i="15"/>
  <c r="CM72" i="15" s="1"/>
  <c r="CF74" i="15"/>
  <c r="CG56" i="15"/>
  <c r="CH56" i="15"/>
  <c r="CH52" i="15" s="1"/>
  <c r="CH51" i="15" s="1"/>
  <c r="CI56" i="15"/>
  <c r="CI52" i="15" s="1"/>
  <c r="CI51" i="15" s="1"/>
  <c r="CJ56" i="15"/>
  <c r="CK56" i="15"/>
  <c r="CL56" i="15"/>
  <c r="CL52" i="15" s="1"/>
  <c r="CL51" i="15" s="1"/>
  <c r="CM56" i="15"/>
  <c r="CM52" i="15" s="1"/>
  <c r="CM51" i="15" s="1"/>
  <c r="CF56" i="15"/>
  <c r="CG49" i="15"/>
  <c r="CH49" i="15"/>
  <c r="CH45" i="15" s="1"/>
  <c r="CH44" i="15" s="1"/>
  <c r="CI49" i="15"/>
  <c r="CJ49" i="15"/>
  <c r="CK49" i="15"/>
  <c r="CL49" i="15"/>
  <c r="CL45" i="15" s="1"/>
  <c r="CL44" i="15" s="1"/>
  <c r="CM49" i="15"/>
  <c r="CF49" i="15"/>
  <c r="CF45" i="15" s="1"/>
  <c r="CF44" i="15" s="1"/>
  <c r="CG41" i="15"/>
  <c r="CH41" i="15"/>
  <c r="CH39" i="15" s="1"/>
  <c r="CH38" i="15" s="1"/>
  <c r="CI41" i="15"/>
  <c r="CI39" i="15" s="1"/>
  <c r="CI38" i="15" s="1"/>
  <c r="CJ41" i="15"/>
  <c r="CK41" i="15"/>
  <c r="CL41" i="15"/>
  <c r="CL39" i="15" s="1"/>
  <c r="CL38" i="15" s="1"/>
  <c r="CM41" i="15"/>
  <c r="CM39" i="15" s="1"/>
  <c r="CM38" i="15" s="1"/>
  <c r="CF41" i="15"/>
  <c r="BQ73" i="15"/>
  <c r="BR73" i="15"/>
  <c r="BS73" i="15"/>
  <c r="BS72" i="15" s="1"/>
  <c r="BT73" i="15"/>
  <c r="BU73" i="15"/>
  <c r="BV73" i="15"/>
  <c r="BW73" i="15"/>
  <c r="BW72" i="15" s="1"/>
  <c r="BP73" i="15"/>
  <c r="BQ55" i="15"/>
  <c r="BR55" i="15"/>
  <c r="BR52" i="15" s="1"/>
  <c r="BR51" i="15" s="1"/>
  <c r="BS55" i="15"/>
  <c r="BT55" i="15"/>
  <c r="BU55" i="15"/>
  <c r="BV55" i="15"/>
  <c r="BV52" i="15" s="1"/>
  <c r="BV51" i="15" s="1"/>
  <c r="BW55" i="15"/>
  <c r="BP55" i="15"/>
  <c r="BP48" i="15"/>
  <c r="BQ48" i="15"/>
  <c r="BR48" i="15"/>
  <c r="BS48" i="15"/>
  <c r="BT48" i="15"/>
  <c r="BU48" i="15"/>
  <c r="BU45" i="15" s="1"/>
  <c r="BU44" i="15" s="1"/>
  <c r="BV48" i="15"/>
  <c r="BW48" i="15"/>
  <c r="BQ47" i="15"/>
  <c r="BR47" i="15"/>
  <c r="BR45" i="15" s="1"/>
  <c r="BR44" i="15" s="1"/>
  <c r="BS47" i="15"/>
  <c r="BS45" i="15" s="1"/>
  <c r="BS44" i="15" s="1"/>
  <c r="BT47" i="15"/>
  <c r="BU47" i="15"/>
  <c r="BV47" i="15"/>
  <c r="BV45" i="15" s="1"/>
  <c r="BV44" i="15" s="1"/>
  <c r="BW47" i="15"/>
  <c r="BW45" i="15" s="1"/>
  <c r="BW44" i="15" s="1"/>
  <c r="BP47" i="15"/>
  <c r="BA46" i="15"/>
  <c r="BB46" i="15"/>
  <c r="BC46" i="15"/>
  <c r="BD46" i="15"/>
  <c r="BE46" i="15"/>
  <c r="BF46" i="15"/>
  <c r="BG46" i="15"/>
  <c r="AZ46" i="15"/>
  <c r="BA54" i="15"/>
  <c r="BB54" i="15"/>
  <c r="BC54" i="15"/>
  <c r="BD54" i="15"/>
  <c r="BE54" i="15"/>
  <c r="BF54" i="15"/>
  <c r="BG54" i="15"/>
  <c r="AZ54" i="15"/>
  <c r="AK40" i="15"/>
  <c r="AL40" i="15"/>
  <c r="AL39" i="15" s="1"/>
  <c r="AL38" i="15" s="1"/>
  <c r="AM40" i="15"/>
  <c r="AM39" i="15" s="1"/>
  <c r="AM38" i="15" s="1"/>
  <c r="AN40" i="15"/>
  <c r="AO40" i="15"/>
  <c r="AP40" i="15"/>
  <c r="AP39" i="15" s="1"/>
  <c r="AP38" i="15" s="1"/>
  <c r="AQ40" i="15"/>
  <c r="AQ39" i="15" s="1"/>
  <c r="AQ38" i="15" s="1"/>
  <c r="AJ40" i="15"/>
  <c r="AK53" i="15"/>
  <c r="AK52" i="15" s="1"/>
  <c r="AK51" i="15" s="1"/>
  <c r="AL53" i="15"/>
  <c r="AL52" i="15" s="1"/>
  <c r="AL51" i="15" s="1"/>
  <c r="AM53" i="15"/>
  <c r="AN53" i="15"/>
  <c r="AO53" i="15"/>
  <c r="AO52" i="15" s="1"/>
  <c r="AO51" i="15" s="1"/>
  <c r="AP53" i="15"/>
  <c r="AP52" i="15" s="1"/>
  <c r="AP51" i="15" s="1"/>
  <c r="AQ53" i="15"/>
  <c r="AJ53" i="15"/>
  <c r="CE72" i="15"/>
  <c r="CD72" i="15"/>
  <c r="CD17" i="15" s="1"/>
  <c r="CD16" i="15" s="1"/>
  <c r="CC72" i="15"/>
  <c r="CB72" i="15"/>
  <c r="CA72" i="15"/>
  <c r="BZ72" i="15"/>
  <c r="BZ17" i="15" s="1"/>
  <c r="BZ16" i="15" s="1"/>
  <c r="BY72" i="15"/>
  <c r="BX72" i="15"/>
  <c r="BV72" i="15"/>
  <c r="BU72" i="15"/>
  <c r="BT72" i="15"/>
  <c r="BR72" i="15"/>
  <c r="BQ72" i="15"/>
  <c r="BP72" i="15"/>
  <c r="BV61" i="15"/>
  <c r="BU61" i="15"/>
  <c r="BT61" i="15"/>
  <c r="BS61" i="15"/>
  <c r="BR61" i="15"/>
  <c r="BQ61" i="15"/>
  <c r="BP61" i="15"/>
  <c r="CE52" i="15"/>
  <c r="CD52" i="15"/>
  <c r="CC52" i="15"/>
  <c r="CB52" i="15"/>
  <c r="CA52" i="15"/>
  <c r="BZ52" i="15"/>
  <c r="BY52" i="15"/>
  <c r="BX52" i="15"/>
  <c r="BW52" i="15"/>
  <c r="BU52" i="15"/>
  <c r="BT52" i="15"/>
  <c r="BS52" i="15"/>
  <c r="BQ52" i="15"/>
  <c r="BP52" i="15"/>
  <c r="CE51" i="15"/>
  <c r="CD51" i="15"/>
  <c r="CC51" i="15"/>
  <c r="CB51" i="15"/>
  <c r="CA51" i="15"/>
  <c r="BZ51" i="15"/>
  <c r="BY51" i="15"/>
  <c r="BX51" i="15"/>
  <c r="BW51" i="15"/>
  <c r="BU51" i="15"/>
  <c r="BT51" i="15"/>
  <c r="BS51" i="15"/>
  <c r="BQ51" i="15"/>
  <c r="BQ37" i="15" s="1"/>
  <c r="BQ17" i="15" s="1"/>
  <c r="BQ16" i="15" s="1"/>
  <c r="BP51" i="15"/>
  <c r="BP37" i="15" s="1"/>
  <c r="BP17" i="15" s="1"/>
  <c r="BP16" i="15" s="1"/>
  <c r="CE45" i="15"/>
  <c r="CD45" i="15"/>
  <c r="CC45" i="15"/>
  <c r="CB45" i="15"/>
  <c r="CA45" i="15"/>
  <c r="BZ45" i="15"/>
  <c r="BY45" i="15"/>
  <c r="BX45" i="15"/>
  <c r="BT45" i="15"/>
  <c r="BQ45" i="15"/>
  <c r="BP45" i="15"/>
  <c r="CE44" i="15"/>
  <c r="CD44" i="15"/>
  <c r="CC44" i="15"/>
  <c r="CB44" i="15"/>
  <c r="CA44" i="15"/>
  <c r="BZ44" i="15"/>
  <c r="BY44" i="15"/>
  <c r="BX44" i="15"/>
  <c r="BT44" i="15"/>
  <c r="BQ44" i="15"/>
  <c r="BP44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CE37" i="15"/>
  <c r="CD37" i="15"/>
  <c r="CC37" i="15"/>
  <c r="CC17" i="15" s="1"/>
  <c r="CC16" i="15" s="1"/>
  <c r="CB37" i="15"/>
  <c r="CB17" i="15" s="1"/>
  <c r="CB16" i="15" s="1"/>
  <c r="CA37" i="15"/>
  <c r="BZ37" i="15"/>
  <c r="BY37" i="15"/>
  <c r="BY17" i="15" s="1"/>
  <c r="BY16" i="15" s="1"/>
  <c r="BX37" i="15"/>
  <c r="BX17" i="15" s="1"/>
  <c r="BX16" i="15" s="1"/>
  <c r="BT37" i="15"/>
  <c r="BT17" i="15" s="1"/>
  <c r="BT16" i="15" s="1"/>
  <c r="CU72" i="15"/>
  <c r="CT72" i="15"/>
  <c r="CS72" i="15"/>
  <c r="CR72" i="15"/>
  <c r="CQ72" i="15"/>
  <c r="CP72" i="15"/>
  <c r="CO72" i="15"/>
  <c r="CN72" i="15"/>
  <c r="CL72" i="15"/>
  <c r="CK72" i="15"/>
  <c r="CJ72" i="15"/>
  <c r="CH72" i="15"/>
  <c r="CG72" i="15"/>
  <c r="CF72" i="15"/>
  <c r="CL61" i="15"/>
  <c r="CK61" i="15"/>
  <c r="CJ61" i="15"/>
  <c r="CI61" i="15"/>
  <c r="CH61" i="15"/>
  <c r="CG61" i="15"/>
  <c r="CF61" i="15"/>
  <c r="CU52" i="15"/>
  <c r="CT52" i="15"/>
  <c r="CS52" i="15"/>
  <c r="CR52" i="15"/>
  <c r="CQ52" i="15"/>
  <c r="CP52" i="15"/>
  <c r="CO52" i="15"/>
  <c r="CN52" i="15"/>
  <c r="CK52" i="15"/>
  <c r="CJ52" i="15"/>
  <c r="CG52" i="15"/>
  <c r="CF52" i="15"/>
  <c r="CU51" i="15"/>
  <c r="CT51" i="15"/>
  <c r="CS51" i="15"/>
  <c r="CR51" i="15"/>
  <c r="CQ51" i="15"/>
  <c r="CP51" i="15"/>
  <c r="CO51" i="15"/>
  <c r="CN51" i="15"/>
  <c r="CK51" i="15"/>
  <c r="CJ51" i="15"/>
  <c r="CG51" i="15"/>
  <c r="CF51" i="15"/>
  <c r="CU45" i="15"/>
  <c r="CT45" i="15"/>
  <c r="CS45" i="15"/>
  <c r="CR45" i="15"/>
  <c r="CQ45" i="15"/>
  <c r="CP45" i="15"/>
  <c r="CO45" i="15"/>
  <c r="CN45" i="15"/>
  <c r="CM45" i="15"/>
  <c r="CK45" i="15"/>
  <c r="CK44" i="15" s="1"/>
  <c r="CJ45" i="15"/>
  <c r="CI45" i="15"/>
  <c r="CG45" i="15"/>
  <c r="CG44" i="15" s="1"/>
  <c r="CU44" i="15"/>
  <c r="CT44" i="15"/>
  <c r="CS44" i="15"/>
  <c r="CR44" i="15"/>
  <c r="CQ44" i="15"/>
  <c r="CP44" i="15"/>
  <c r="CO44" i="15"/>
  <c r="CN44" i="15"/>
  <c r="CM44" i="15"/>
  <c r="CJ44" i="15"/>
  <c r="CJ37" i="15" s="1"/>
  <c r="CJ17" i="15" s="1"/>
  <c r="CJ16" i="15" s="1"/>
  <c r="CI44" i="15"/>
  <c r="CU39" i="15"/>
  <c r="CT39" i="15"/>
  <c r="CS39" i="15"/>
  <c r="CR39" i="15"/>
  <c r="CQ39" i="15"/>
  <c r="CP39" i="15"/>
  <c r="CO39" i="15"/>
  <c r="CN39" i="15"/>
  <c r="CK39" i="15"/>
  <c r="CJ39" i="15"/>
  <c r="CG39" i="15"/>
  <c r="CF39" i="15"/>
  <c r="CU38" i="15"/>
  <c r="CT38" i="15"/>
  <c r="CS38" i="15"/>
  <c r="CR38" i="15"/>
  <c r="CQ38" i="15"/>
  <c r="CP38" i="15"/>
  <c r="CO38" i="15"/>
  <c r="CN38" i="15"/>
  <c r="CK38" i="15"/>
  <c r="CJ38" i="15"/>
  <c r="CG38" i="15"/>
  <c r="CF38" i="15"/>
  <c r="CU37" i="15"/>
  <c r="CT37" i="15"/>
  <c r="CS37" i="15"/>
  <c r="CR37" i="15"/>
  <c r="CQ37" i="15"/>
  <c r="CP37" i="15"/>
  <c r="CO37" i="15"/>
  <c r="CN37" i="15"/>
  <c r="CU17" i="15"/>
  <c r="CT17" i="15"/>
  <c r="CS17" i="15"/>
  <c r="CR17" i="15"/>
  <c r="CQ17" i="15"/>
  <c r="CP17" i="15"/>
  <c r="CO17" i="15"/>
  <c r="CN17" i="15"/>
  <c r="CU16" i="15"/>
  <c r="CT16" i="15"/>
  <c r="CS16" i="15"/>
  <c r="CR16" i="15"/>
  <c r="CQ16" i="15"/>
  <c r="CP16" i="15"/>
  <c r="CO16" i="15"/>
  <c r="CN16" i="15"/>
  <c r="D16" i="15"/>
  <c r="D17" i="15"/>
  <c r="D37" i="15"/>
  <c r="E39" i="15"/>
  <c r="E38" i="15" s="1"/>
  <c r="F39" i="15"/>
  <c r="F38" i="15" s="1"/>
  <c r="G39" i="15"/>
  <c r="G38" i="15" s="1"/>
  <c r="H39" i="15"/>
  <c r="H38" i="15" s="1"/>
  <c r="I39" i="15"/>
  <c r="I38" i="15" s="1"/>
  <c r="J39" i="15"/>
  <c r="J38" i="15" s="1"/>
  <c r="K39" i="15"/>
  <c r="K38" i="15" s="1"/>
  <c r="L39" i="15"/>
  <c r="L38" i="15" s="1"/>
  <c r="M39" i="15"/>
  <c r="M38" i="15" s="1"/>
  <c r="N39" i="15"/>
  <c r="N38" i="15" s="1"/>
  <c r="O39" i="15"/>
  <c r="O38" i="15" s="1"/>
  <c r="P39" i="15"/>
  <c r="P38" i="15" s="1"/>
  <c r="Q39" i="15"/>
  <c r="Q38" i="15" s="1"/>
  <c r="R39" i="15"/>
  <c r="R38" i="15" s="1"/>
  <c r="S39" i="15"/>
  <c r="S38" i="15" s="1"/>
  <c r="T39" i="15"/>
  <c r="T38" i="15" s="1"/>
  <c r="U39" i="15"/>
  <c r="U38" i="15" s="1"/>
  <c r="V39" i="15"/>
  <c r="V38" i="15" s="1"/>
  <c r="W39" i="15"/>
  <c r="W38" i="15" s="1"/>
  <c r="X39" i="15"/>
  <c r="X38" i="15" s="1"/>
  <c r="Y39" i="15"/>
  <c r="Y38" i="15" s="1"/>
  <c r="Z39" i="15"/>
  <c r="Z38" i="15" s="1"/>
  <c r="AA39" i="15"/>
  <c r="AA38" i="15" s="1"/>
  <c r="AB39" i="15"/>
  <c r="AB38" i="15" s="1"/>
  <c r="AC39" i="15"/>
  <c r="AC38" i="15" s="1"/>
  <c r="AD39" i="15"/>
  <c r="AD38" i="15" s="1"/>
  <c r="AE39" i="15"/>
  <c r="AE38" i="15" s="1"/>
  <c r="AF39" i="15"/>
  <c r="AF38" i="15" s="1"/>
  <c r="AG39" i="15"/>
  <c r="AG38" i="15" s="1"/>
  <c r="AH39" i="15"/>
  <c r="AH38" i="15" s="1"/>
  <c r="AI39" i="15"/>
  <c r="AI38" i="15" s="1"/>
  <c r="AJ39" i="15"/>
  <c r="AJ38" i="15" s="1"/>
  <c r="AK39" i="15"/>
  <c r="AK38" i="15" s="1"/>
  <c r="AN39" i="15"/>
  <c r="AN38" i="15" s="1"/>
  <c r="AO39" i="15"/>
  <c r="AO38" i="15" s="1"/>
  <c r="AR39" i="15"/>
  <c r="AR38" i="15" s="1"/>
  <c r="AS39" i="15"/>
  <c r="AS38" i="15" s="1"/>
  <c r="AT39" i="15"/>
  <c r="AT38" i="15" s="1"/>
  <c r="AU39" i="15"/>
  <c r="AU38" i="15" s="1"/>
  <c r="AV39" i="15"/>
  <c r="AV38" i="15" s="1"/>
  <c r="AW39" i="15"/>
  <c r="AW38" i="15" s="1"/>
  <c r="AX39" i="15"/>
  <c r="AX38" i="15" s="1"/>
  <c r="AY39" i="15"/>
  <c r="AY38" i="15" s="1"/>
  <c r="AZ39" i="15"/>
  <c r="AZ38" i="15" s="1"/>
  <c r="BA39" i="15"/>
  <c r="BA38" i="15" s="1"/>
  <c r="BB39" i="15"/>
  <c r="BB38" i="15" s="1"/>
  <c r="BC39" i="15"/>
  <c r="BC38" i="15" s="1"/>
  <c r="BD39" i="15"/>
  <c r="BD38" i="15" s="1"/>
  <c r="BE39" i="15"/>
  <c r="BE38" i="15" s="1"/>
  <c r="BF39" i="15"/>
  <c r="BF38" i="15" s="1"/>
  <c r="BG39" i="15"/>
  <c r="BG38" i="15" s="1"/>
  <c r="BH39" i="15"/>
  <c r="BH38" i="15" s="1"/>
  <c r="BI39" i="15"/>
  <c r="BI38" i="15" s="1"/>
  <c r="BJ39" i="15"/>
  <c r="BJ38" i="15" s="1"/>
  <c r="BK39" i="15"/>
  <c r="BK38" i="15" s="1"/>
  <c r="BL39" i="15"/>
  <c r="BL38" i="15" s="1"/>
  <c r="BM39" i="15"/>
  <c r="BM38" i="15" s="1"/>
  <c r="BN39" i="15"/>
  <c r="BN38" i="15" s="1"/>
  <c r="BO39" i="15"/>
  <c r="BO38" i="15" s="1"/>
  <c r="CV39" i="15"/>
  <c r="CV38" i="15" s="1"/>
  <c r="CX39" i="15"/>
  <c r="CX38" i="15" s="1"/>
  <c r="CZ39" i="15"/>
  <c r="CZ38" i="15" s="1"/>
  <c r="DB39" i="15"/>
  <c r="DB38" i="15" s="1"/>
  <c r="DD39" i="15"/>
  <c r="DD38" i="15" s="1"/>
  <c r="DE39" i="15"/>
  <c r="DE38" i="15" s="1"/>
  <c r="DF39" i="15"/>
  <c r="DF38" i="15" s="1"/>
  <c r="DG39" i="15"/>
  <c r="DG38" i="15" s="1"/>
  <c r="DH39" i="15"/>
  <c r="DH38" i="15" s="1"/>
  <c r="DI39" i="15"/>
  <c r="DI38" i="15" s="1"/>
  <c r="DJ39" i="15"/>
  <c r="DJ38" i="15" s="1"/>
  <c r="DK39" i="15"/>
  <c r="DK38" i="15" s="1"/>
  <c r="DT39" i="15"/>
  <c r="DT38" i="15" s="1"/>
  <c r="DU39" i="15"/>
  <c r="DU38" i="15" s="1"/>
  <c r="DV39" i="15"/>
  <c r="DV38" i="15" s="1"/>
  <c r="DW39" i="15"/>
  <c r="DW38" i="15" s="1"/>
  <c r="DX39" i="15"/>
  <c r="DX38" i="15" s="1"/>
  <c r="DY39" i="15"/>
  <c r="DY38" i="15" s="1"/>
  <c r="DZ39" i="15"/>
  <c r="DZ38" i="15" s="1"/>
  <c r="EA39" i="15"/>
  <c r="EA38" i="15" s="1"/>
  <c r="EB39" i="15"/>
  <c r="EB38" i="15" s="1"/>
  <c r="D38" i="15"/>
  <c r="D39" i="15"/>
  <c r="CW44" i="15"/>
  <c r="CX44" i="15"/>
  <c r="CY44" i="15"/>
  <c r="D44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R51" i="15"/>
  <c r="AS51" i="15"/>
  <c r="AT51" i="15"/>
  <c r="AU51" i="15"/>
  <c r="AV51" i="15"/>
  <c r="AW51" i="15"/>
  <c r="AX51" i="15"/>
  <c r="AY51" i="15"/>
  <c r="AZ51" i="15"/>
  <c r="BD51" i="15"/>
  <c r="BH51" i="15"/>
  <c r="BI51" i="15"/>
  <c r="BJ51" i="15"/>
  <c r="BK51" i="15"/>
  <c r="BL51" i="15"/>
  <c r="BM51" i="15"/>
  <c r="BN51" i="15"/>
  <c r="BO51" i="15"/>
  <c r="DD51" i="15"/>
  <c r="DE51" i="15"/>
  <c r="DF51" i="15"/>
  <c r="DG51" i="15"/>
  <c r="DH51" i="15"/>
  <c r="DI51" i="15"/>
  <c r="DJ51" i="15"/>
  <c r="DK51" i="15"/>
  <c r="DT51" i="15"/>
  <c r="DU51" i="15"/>
  <c r="DV51" i="15"/>
  <c r="DW51" i="15"/>
  <c r="DX51" i="15"/>
  <c r="DY51" i="15"/>
  <c r="DZ51" i="15"/>
  <c r="EA51" i="15"/>
  <c r="EB51" i="15"/>
  <c r="D51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AE52" i="15"/>
  <c r="AF52" i="15"/>
  <c r="AG52" i="15"/>
  <c r="AH52" i="15"/>
  <c r="AI52" i="15"/>
  <c r="AJ52" i="15"/>
  <c r="AM52" i="15"/>
  <c r="AM51" i="15" s="1"/>
  <c r="AN52" i="15"/>
  <c r="AN51" i="15" s="1"/>
  <c r="AQ52" i="15"/>
  <c r="AQ51" i="15" s="1"/>
  <c r="AR52" i="15"/>
  <c r="AS52" i="15"/>
  <c r="AT52" i="15"/>
  <c r="AU52" i="15"/>
  <c r="AV52" i="15"/>
  <c r="AW52" i="15"/>
  <c r="AX52" i="15"/>
  <c r="AY52" i="15"/>
  <c r="AZ52" i="15"/>
  <c r="BA52" i="15"/>
  <c r="BA51" i="15" s="1"/>
  <c r="BB52" i="15"/>
  <c r="BB51" i="15" s="1"/>
  <c r="BC52" i="15"/>
  <c r="BC51" i="15" s="1"/>
  <c r="BD52" i="15"/>
  <c r="BE52" i="15"/>
  <c r="BE51" i="15" s="1"/>
  <c r="BF52" i="15"/>
  <c r="BF51" i="15" s="1"/>
  <c r="BG52" i="15"/>
  <c r="BG51" i="15" s="1"/>
  <c r="BH52" i="15"/>
  <c r="BI52" i="15"/>
  <c r="BJ52" i="15"/>
  <c r="BK52" i="15"/>
  <c r="BL52" i="15"/>
  <c r="BM52" i="15"/>
  <c r="BN52" i="15"/>
  <c r="BO52" i="15"/>
  <c r="CV52" i="15"/>
  <c r="CV51" i="15" s="1"/>
  <c r="CW52" i="15"/>
  <c r="CW51" i="15" s="1"/>
  <c r="CZ52" i="15"/>
  <c r="CZ51" i="15" s="1"/>
  <c r="DA52" i="15"/>
  <c r="DA51" i="15" s="1"/>
  <c r="DD52" i="15"/>
  <c r="DE52" i="15"/>
  <c r="DF52" i="15"/>
  <c r="DG52" i="15"/>
  <c r="DH52" i="15"/>
  <c r="DI52" i="15"/>
  <c r="DJ52" i="15"/>
  <c r="DK52" i="15"/>
  <c r="DL52" i="15"/>
  <c r="DL51" i="15" s="1"/>
  <c r="DP52" i="15"/>
  <c r="DP51" i="15" s="1"/>
  <c r="DQ52" i="15"/>
  <c r="DQ51" i="15" s="1"/>
  <c r="DT52" i="15"/>
  <c r="DU52" i="15"/>
  <c r="DV52" i="15"/>
  <c r="DW52" i="15"/>
  <c r="DX52" i="15"/>
  <c r="DY52" i="15"/>
  <c r="DZ52" i="15"/>
  <c r="EA52" i="15"/>
  <c r="D5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AC72" i="15"/>
  <c r="AD72" i="15"/>
  <c r="AE72" i="15"/>
  <c r="AF72" i="15"/>
  <c r="AG72" i="15"/>
  <c r="AH72" i="15"/>
  <c r="AI72" i="15"/>
  <c r="AJ72" i="15"/>
  <c r="AK72" i="15"/>
  <c r="AL72" i="15"/>
  <c r="AM72" i="15"/>
  <c r="AN72" i="15"/>
  <c r="AO72" i="15"/>
  <c r="AP72" i="15"/>
  <c r="AQ72" i="15"/>
  <c r="AR72" i="15"/>
  <c r="AS72" i="15"/>
  <c r="AT72" i="15"/>
  <c r="AU72" i="15"/>
  <c r="AV72" i="15"/>
  <c r="AW72" i="15"/>
  <c r="AX72" i="15"/>
  <c r="AY72" i="15"/>
  <c r="AZ72" i="15"/>
  <c r="BA72" i="15"/>
  <c r="BB72" i="15"/>
  <c r="BC72" i="15"/>
  <c r="BD72" i="15"/>
  <c r="BE72" i="15"/>
  <c r="BF72" i="15"/>
  <c r="BH72" i="15"/>
  <c r="BI72" i="15"/>
  <c r="BJ72" i="15"/>
  <c r="BK72" i="15"/>
  <c r="BL72" i="15"/>
  <c r="BM72" i="15"/>
  <c r="BN72" i="15"/>
  <c r="BO72" i="15"/>
  <c r="CV72" i="15"/>
  <c r="CW72" i="15"/>
  <c r="CX72" i="15"/>
  <c r="CY72" i="15"/>
  <c r="CZ72" i="15"/>
  <c r="DA72" i="15"/>
  <c r="DB72" i="15"/>
  <c r="DC72" i="15"/>
  <c r="DD72" i="15"/>
  <c r="DE72" i="15"/>
  <c r="DF72" i="15"/>
  <c r="DG72" i="15"/>
  <c r="DH72" i="15"/>
  <c r="DI72" i="15"/>
  <c r="DJ72" i="15"/>
  <c r="DK72" i="15"/>
  <c r="DL72" i="15"/>
  <c r="DO72" i="15"/>
  <c r="DP72" i="15"/>
  <c r="DT72" i="15"/>
  <c r="DU72" i="15"/>
  <c r="DV72" i="15"/>
  <c r="DW72" i="15"/>
  <c r="DX72" i="15"/>
  <c r="DY72" i="15"/>
  <c r="DZ72" i="15"/>
  <c r="F72" i="15"/>
  <c r="EA73" i="15"/>
  <c r="DZ73" i="15"/>
  <c r="DY73" i="15"/>
  <c r="DX73" i="15"/>
  <c r="DW73" i="15"/>
  <c r="DV73" i="15"/>
  <c r="DU73" i="15"/>
  <c r="DT73" i="15"/>
  <c r="EB73" i="15"/>
  <c r="BG73" i="15"/>
  <c r="BV58" i="14"/>
  <c r="BW58" i="14"/>
  <c r="BX58" i="14"/>
  <c r="BY58" i="14"/>
  <c r="BZ58" i="14"/>
  <c r="BU58" i="14"/>
  <c r="BV43" i="14"/>
  <c r="BW43" i="14"/>
  <c r="BW40" i="14" s="1"/>
  <c r="BW39" i="14" s="1"/>
  <c r="BX43" i="14"/>
  <c r="BX40" i="14" s="1"/>
  <c r="BX39" i="14" s="1"/>
  <c r="BY43" i="14"/>
  <c r="BZ43" i="14"/>
  <c r="BU43" i="14"/>
  <c r="BH75" i="14"/>
  <c r="BH73" i="14" s="1"/>
  <c r="BI75" i="14"/>
  <c r="BI73" i="14" s="1"/>
  <c r="BJ75" i="14"/>
  <c r="BK75" i="14"/>
  <c r="BL75" i="14"/>
  <c r="BL73" i="14" s="1"/>
  <c r="BG75" i="14"/>
  <c r="BH57" i="14"/>
  <c r="BH53" i="14" s="1"/>
  <c r="BH52" i="14" s="1"/>
  <c r="BI57" i="14"/>
  <c r="BI53" i="14" s="1"/>
  <c r="BI52" i="14" s="1"/>
  <c r="BJ57" i="14"/>
  <c r="BK57" i="14"/>
  <c r="BL57" i="14"/>
  <c r="BL53" i="14" s="1"/>
  <c r="BL52" i="14" s="1"/>
  <c r="BG57" i="14"/>
  <c r="BH50" i="14"/>
  <c r="BH46" i="14" s="1"/>
  <c r="BH45" i="14" s="1"/>
  <c r="BI50" i="14"/>
  <c r="BI46" i="14" s="1"/>
  <c r="BI45" i="14" s="1"/>
  <c r="BJ50" i="14"/>
  <c r="BK50" i="14"/>
  <c r="BL50" i="14"/>
  <c r="BL46" i="14" s="1"/>
  <c r="BL45" i="14" s="1"/>
  <c r="BG50" i="14"/>
  <c r="BG46" i="14" s="1"/>
  <c r="BG45" i="14" s="1"/>
  <c r="BH42" i="14"/>
  <c r="BI42" i="14"/>
  <c r="BJ42" i="14"/>
  <c r="BK42" i="14"/>
  <c r="BL42" i="14"/>
  <c r="BG42" i="14"/>
  <c r="AT74" i="14"/>
  <c r="AU74" i="14"/>
  <c r="AV74" i="14"/>
  <c r="AW74" i="14"/>
  <c r="AX74" i="14"/>
  <c r="AS74" i="14"/>
  <c r="AT56" i="14"/>
  <c r="AU56" i="14"/>
  <c r="AV56" i="14"/>
  <c r="AW56" i="14"/>
  <c r="AX56" i="14"/>
  <c r="AS56" i="14"/>
  <c r="AS53" i="14" s="1"/>
  <c r="AS52" i="14" s="1"/>
  <c r="AT48" i="14"/>
  <c r="AU48" i="14"/>
  <c r="AV48" i="14"/>
  <c r="AV46" i="14" s="1"/>
  <c r="AV45" i="14" s="1"/>
  <c r="AW48" i="14"/>
  <c r="AX48" i="14"/>
  <c r="AT49" i="14"/>
  <c r="AU49" i="14"/>
  <c r="AV49" i="14"/>
  <c r="AW49" i="14"/>
  <c r="AX49" i="14"/>
  <c r="AS49" i="14"/>
  <c r="AS48" i="14"/>
  <c r="AS46" i="14" s="1"/>
  <c r="AS45" i="14" s="1"/>
  <c r="AF55" i="14"/>
  <c r="AG55" i="14"/>
  <c r="AH55" i="14"/>
  <c r="AH53" i="14" s="1"/>
  <c r="AH52" i="14" s="1"/>
  <c r="AI55" i="14"/>
  <c r="AJ55" i="14"/>
  <c r="AE55" i="14"/>
  <c r="AF47" i="14"/>
  <c r="AF46" i="14" s="1"/>
  <c r="AF45" i="14" s="1"/>
  <c r="AG47" i="14"/>
  <c r="AG46" i="14" s="1"/>
  <c r="AG45" i="14" s="1"/>
  <c r="AH47" i="14"/>
  <c r="AI47" i="14"/>
  <c r="AJ47" i="14"/>
  <c r="AJ46" i="14" s="1"/>
  <c r="AJ45" i="14" s="1"/>
  <c r="AE47" i="14"/>
  <c r="AE46" i="14" s="1"/>
  <c r="AE45" i="14" s="1"/>
  <c r="T17" i="14"/>
  <c r="X17" i="14"/>
  <c r="AB17" i="14"/>
  <c r="AN17" i="14"/>
  <c r="AZ17" i="14"/>
  <c r="BD17" i="14"/>
  <c r="BP17" i="14"/>
  <c r="CB17" i="14"/>
  <c r="CF17" i="14"/>
  <c r="R18" i="14"/>
  <c r="R17" i="14" s="1"/>
  <c r="S18" i="14"/>
  <c r="S17" i="14" s="1"/>
  <c r="T18" i="14"/>
  <c r="U18" i="14"/>
  <c r="U17" i="14" s="1"/>
  <c r="V18" i="14"/>
  <c r="V17" i="14" s="1"/>
  <c r="W18" i="14"/>
  <c r="W17" i="14" s="1"/>
  <c r="X18" i="14"/>
  <c r="Y18" i="14"/>
  <c r="Y17" i="14" s="1"/>
  <c r="Z18" i="14"/>
  <c r="Z17" i="14" s="1"/>
  <c r="AA18" i="14"/>
  <c r="AA17" i="14" s="1"/>
  <c r="AB18" i="14"/>
  <c r="AC18" i="14"/>
  <c r="AC17" i="14" s="1"/>
  <c r="AK18" i="14"/>
  <c r="AK17" i="14" s="1"/>
  <c r="AL18" i="14"/>
  <c r="AL17" i="14" s="1"/>
  <c r="AM18" i="14"/>
  <c r="AM17" i="14" s="1"/>
  <c r="AN18" i="14"/>
  <c r="AO18" i="14"/>
  <c r="AO17" i="14" s="1"/>
  <c r="AP18" i="14"/>
  <c r="AP17" i="14" s="1"/>
  <c r="AQ18" i="14"/>
  <c r="AQ17" i="14" s="1"/>
  <c r="AY18" i="14"/>
  <c r="AY17" i="14" s="1"/>
  <c r="AZ18" i="14"/>
  <c r="BA18" i="14"/>
  <c r="BA17" i="14" s="1"/>
  <c r="BB18" i="14"/>
  <c r="BB17" i="14" s="1"/>
  <c r="BC18" i="14"/>
  <c r="BC17" i="14" s="1"/>
  <c r="BD18" i="14"/>
  <c r="BE18" i="14"/>
  <c r="BE17" i="14" s="1"/>
  <c r="BM18" i="14"/>
  <c r="BM17" i="14" s="1"/>
  <c r="BN18" i="14"/>
  <c r="BN17" i="14" s="1"/>
  <c r="BO18" i="14"/>
  <c r="BO17" i="14" s="1"/>
  <c r="BP18" i="14"/>
  <c r="BQ18" i="14"/>
  <c r="BQ17" i="14" s="1"/>
  <c r="BR18" i="14"/>
  <c r="BR17" i="14" s="1"/>
  <c r="BS18" i="14"/>
  <c r="BS17" i="14" s="1"/>
  <c r="CA18" i="14"/>
  <c r="CA17" i="14" s="1"/>
  <c r="CB18" i="14"/>
  <c r="CC18" i="14"/>
  <c r="CC17" i="14" s="1"/>
  <c r="CD18" i="14"/>
  <c r="CD17" i="14" s="1"/>
  <c r="CE18" i="14"/>
  <c r="CE17" i="14" s="1"/>
  <c r="CF18" i="14"/>
  <c r="CG18" i="14"/>
  <c r="CG17" i="14" s="1"/>
  <c r="CH18" i="14"/>
  <c r="CH17" i="14" s="1"/>
  <c r="Q17" i="14"/>
  <c r="Q18" i="14"/>
  <c r="S39" i="14"/>
  <c r="S38" i="14" s="1"/>
  <c r="W39" i="14"/>
  <c r="W38" i="14" s="1"/>
  <c r="AA39" i="14"/>
  <c r="AA38" i="14" s="1"/>
  <c r="AE39" i="14"/>
  <c r="AI39" i="14"/>
  <c r="AM39" i="14"/>
  <c r="AM38" i="14" s="1"/>
  <c r="AQ39" i="14"/>
  <c r="AQ38" i="14" s="1"/>
  <c r="AU39" i="14"/>
  <c r="AY39" i="14"/>
  <c r="AY38" i="14" s="1"/>
  <c r="BC39" i="14"/>
  <c r="BC38" i="14" s="1"/>
  <c r="BK39" i="14"/>
  <c r="BO39" i="14"/>
  <c r="BO38" i="14" s="1"/>
  <c r="BS39" i="14"/>
  <c r="BS38" i="14" s="1"/>
  <c r="CA39" i="14"/>
  <c r="CA38" i="14" s="1"/>
  <c r="CE39" i="14"/>
  <c r="CE38" i="14" s="1"/>
  <c r="R40" i="14"/>
  <c r="R39" i="14" s="1"/>
  <c r="R38" i="14" s="1"/>
  <c r="S40" i="14"/>
  <c r="T40" i="14"/>
  <c r="T39" i="14" s="1"/>
  <c r="T38" i="14" s="1"/>
  <c r="U40" i="14"/>
  <c r="U39" i="14" s="1"/>
  <c r="U38" i="14" s="1"/>
  <c r="V40" i="14"/>
  <c r="V39" i="14" s="1"/>
  <c r="V38" i="14" s="1"/>
  <c r="W40" i="14"/>
  <c r="X40" i="14"/>
  <c r="X39" i="14" s="1"/>
  <c r="X38" i="14" s="1"/>
  <c r="Y40" i="14"/>
  <c r="Y39" i="14" s="1"/>
  <c r="Y38" i="14" s="1"/>
  <c r="Z40" i="14"/>
  <c r="Z39" i="14" s="1"/>
  <c r="Z38" i="14" s="1"/>
  <c r="AA40" i="14"/>
  <c r="AB40" i="14"/>
  <c r="AB39" i="14" s="1"/>
  <c r="AB38" i="14" s="1"/>
  <c r="AC40" i="14"/>
  <c r="AC39" i="14" s="1"/>
  <c r="AC38" i="14" s="1"/>
  <c r="AD40" i="14"/>
  <c r="AD39" i="14" s="1"/>
  <c r="AE40" i="14"/>
  <c r="AF40" i="14"/>
  <c r="AF39" i="14" s="1"/>
  <c r="AG40" i="14"/>
  <c r="AG39" i="14" s="1"/>
  <c r="AH40" i="14"/>
  <c r="AH39" i="14" s="1"/>
  <c r="AI40" i="14"/>
  <c r="AJ40" i="14"/>
  <c r="AJ39" i="14" s="1"/>
  <c r="AK40" i="14"/>
  <c r="AK39" i="14" s="1"/>
  <c r="AK38" i="14" s="1"/>
  <c r="AL40" i="14"/>
  <c r="AL39" i="14" s="1"/>
  <c r="AL38" i="14" s="1"/>
  <c r="AM40" i="14"/>
  <c r="AN40" i="14"/>
  <c r="AN39" i="14" s="1"/>
  <c r="AN38" i="14" s="1"/>
  <c r="AO40" i="14"/>
  <c r="AO39" i="14" s="1"/>
  <c r="AO38" i="14" s="1"/>
  <c r="AP40" i="14"/>
  <c r="AP39" i="14" s="1"/>
  <c r="AP38" i="14" s="1"/>
  <c r="AQ40" i="14"/>
  <c r="AR40" i="14"/>
  <c r="AR39" i="14" s="1"/>
  <c r="AS40" i="14"/>
  <c r="AS39" i="14" s="1"/>
  <c r="AT40" i="14"/>
  <c r="AT39" i="14" s="1"/>
  <c r="AU40" i="14"/>
  <c r="AV40" i="14"/>
  <c r="AV39" i="14" s="1"/>
  <c r="AW40" i="14"/>
  <c r="AW39" i="14" s="1"/>
  <c r="AX40" i="14"/>
  <c r="AX39" i="14" s="1"/>
  <c r="AY40" i="14"/>
  <c r="AZ40" i="14"/>
  <c r="AZ39" i="14" s="1"/>
  <c r="AZ38" i="14" s="1"/>
  <c r="BA40" i="14"/>
  <c r="BA39" i="14" s="1"/>
  <c r="BA38" i="14" s="1"/>
  <c r="BB40" i="14"/>
  <c r="BB39" i="14" s="1"/>
  <c r="BB38" i="14" s="1"/>
  <c r="BC40" i="14"/>
  <c r="BD40" i="14"/>
  <c r="BD39" i="14" s="1"/>
  <c r="BD38" i="14" s="1"/>
  <c r="BE40" i="14"/>
  <c r="BE39" i="14" s="1"/>
  <c r="BE38" i="14" s="1"/>
  <c r="BF40" i="14"/>
  <c r="BF39" i="14" s="1"/>
  <c r="BG40" i="14"/>
  <c r="BG39" i="14" s="1"/>
  <c r="BH40" i="14"/>
  <c r="BH39" i="14" s="1"/>
  <c r="BI40" i="14"/>
  <c r="BI39" i="14" s="1"/>
  <c r="BJ40" i="14"/>
  <c r="BJ39" i="14" s="1"/>
  <c r="BK40" i="14"/>
  <c r="BL40" i="14"/>
  <c r="BL39" i="14" s="1"/>
  <c r="BM40" i="14"/>
  <c r="BM39" i="14" s="1"/>
  <c r="BM38" i="14" s="1"/>
  <c r="BN40" i="14"/>
  <c r="BN39" i="14" s="1"/>
  <c r="BN38" i="14" s="1"/>
  <c r="BO40" i="14"/>
  <c r="BP40" i="14"/>
  <c r="BP39" i="14" s="1"/>
  <c r="BP38" i="14" s="1"/>
  <c r="BQ40" i="14"/>
  <c r="BQ39" i="14" s="1"/>
  <c r="BQ38" i="14" s="1"/>
  <c r="BR40" i="14"/>
  <c r="BR39" i="14" s="1"/>
  <c r="BR38" i="14" s="1"/>
  <c r="BS40" i="14"/>
  <c r="BT40" i="14"/>
  <c r="BT39" i="14" s="1"/>
  <c r="BU40" i="14"/>
  <c r="BU39" i="14" s="1"/>
  <c r="BV40" i="14"/>
  <c r="BV39" i="14" s="1"/>
  <c r="BY40" i="14"/>
  <c r="BY39" i="14" s="1"/>
  <c r="BZ40" i="14"/>
  <c r="BZ39" i="14" s="1"/>
  <c r="CA40" i="14"/>
  <c r="CB40" i="14"/>
  <c r="CB39" i="14" s="1"/>
  <c r="CB38" i="14" s="1"/>
  <c r="CC40" i="14"/>
  <c r="CC39" i="14" s="1"/>
  <c r="CC38" i="14" s="1"/>
  <c r="CD40" i="14"/>
  <c r="CD39" i="14" s="1"/>
  <c r="CD38" i="14" s="1"/>
  <c r="CE40" i="14"/>
  <c r="CF40" i="14"/>
  <c r="CF39" i="14" s="1"/>
  <c r="CF38" i="14" s="1"/>
  <c r="CG40" i="14"/>
  <c r="CG39" i="14" s="1"/>
  <c r="CG38" i="14" s="1"/>
  <c r="CH40" i="14"/>
  <c r="CH39" i="14" s="1"/>
  <c r="CH38" i="14" s="1"/>
  <c r="Q38" i="14"/>
  <c r="Q39" i="14"/>
  <c r="Q40" i="14"/>
  <c r="T45" i="14"/>
  <c r="X45" i="14"/>
  <c r="AB45" i="14"/>
  <c r="AN45" i="14"/>
  <c r="AZ45" i="14"/>
  <c r="BD45" i="14"/>
  <c r="BP45" i="14"/>
  <c r="BX45" i="14"/>
  <c r="CB45" i="14"/>
  <c r="CF45" i="14"/>
  <c r="R46" i="14"/>
  <c r="R45" i="14" s="1"/>
  <c r="S46" i="14"/>
  <c r="S45" i="14" s="1"/>
  <c r="T46" i="14"/>
  <c r="U46" i="14"/>
  <c r="U45" i="14" s="1"/>
  <c r="V46" i="14"/>
  <c r="V45" i="14" s="1"/>
  <c r="W46" i="14"/>
  <c r="W45" i="14" s="1"/>
  <c r="X46" i="14"/>
  <c r="Y46" i="14"/>
  <c r="Y45" i="14" s="1"/>
  <c r="Z46" i="14"/>
  <c r="Z45" i="14" s="1"/>
  <c r="AA46" i="14"/>
  <c r="AA45" i="14" s="1"/>
  <c r="AB46" i="14"/>
  <c r="AC46" i="14"/>
  <c r="AC45" i="14" s="1"/>
  <c r="AD46" i="14"/>
  <c r="AD45" i="14" s="1"/>
  <c r="AH46" i="14"/>
  <c r="AH45" i="14" s="1"/>
  <c r="AI46" i="14"/>
  <c r="AI45" i="14" s="1"/>
  <c r="AK46" i="14"/>
  <c r="AK45" i="14" s="1"/>
  <c r="AL46" i="14"/>
  <c r="AL45" i="14" s="1"/>
  <c r="AM46" i="14"/>
  <c r="AM45" i="14" s="1"/>
  <c r="AN46" i="14"/>
  <c r="AO46" i="14"/>
  <c r="AO45" i="14" s="1"/>
  <c r="AP46" i="14"/>
  <c r="AP45" i="14" s="1"/>
  <c r="AQ46" i="14"/>
  <c r="AQ45" i="14" s="1"/>
  <c r="AR46" i="14"/>
  <c r="AR45" i="14" s="1"/>
  <c r="AT46" i="14"/>
  <c r="AT45" i="14" s="1"/>
  <c r="AU46" i="14"/>
  <c r="AU45" i="14" s="1"/>
  <c r="AW46" i="14"/>
  <c r="AW45" i="14" s="1"/>
  <c r="AX46" i="14"/>
  <c r="AX45" i="14" s="1"/>
  <c r="AY46" i="14"/>
  <c r="AY45" i="14" s="1"/>
  <c r="AZ46" i="14"/>
  <c r="BA46" i="14"/>
  <c r="BA45" i="14" s="1"/>
  <c r="BB46" i="14"/>
  <c r="BB45" i="14" s="1"/>
  <c r="BC46" i="14"/>
  <c r="BC45" i="14" s="1"/>
  <c r="BD46" i="14"/>
  <c r="BE46" i="14"/>
  <c r="BE45" i="14" s="1"/>
  <c r="BF46" i="14"/>
  <c r="BF45" i="14" s="1"/>
  <c r="BJ46" i="14"/>
  <c r="BJ45" i="14" s="1"/>
  <c r="BK46" i="14"/>
  <c r="BK45" i="14" s="1"/>
  <c r="BM46" i="14"/>
  <c r="BM45" i="14" s="1"/>
  <c r="BN46" i="14"/>
  <c r="BN45" i="14" s="1"/>
  <c r="BO46" i="14"/>
  <c r="BO45" i="14" s="1"/>
  <c r="BP46" i="14"/>
  <c r="BQ46" i="14"/>
  <c r="BQ45" i="14" s="1"/>
  <c r="BR46" i="14"/>
  <c r="BR45" i="14" s="1"/>
  <c r="BS46" i="14"/>
  <c r="BS45" i="14" s="1"/>
  <c r="BT46" i="14"/>
  <c r="BT45" i="14" s="1"/>
  <c r="BU46" i="14"/>
  <c r="BU45" i="14" s="1"/>
  <c r="BV46" i="14"/>
  <c r="BV45" i="14" s="1"/>
  <c r="BW46" i="14"/>
  <c r="BW45" i="14" s="1"/>
  <c r="BX46" i="14"/>
  <c r="BY46" i="14"/>
  <c r="BY45" i="14" s="1"/>
  <c r="BZ46" i="14"/>
  <c r="BZ45" i="14" s="1"/>
  <c r="CA46" i="14"/>
  <c r="CA45" i="14" s="1"/>
  <c r="CB46" i="14"/>
  <c r="CC46" i="14"/>
  <c r="CC45" i="14" s="1"/>
  <c r="CD46" i="14"/>
  <c r="CD45" i="14" s="1"/>
  <c r="CE46" i="14"/>
  <c r="CE45" i="14" s="1"/>
  <c r="CF46" i="14"/>
  <c r="CG46" i="14"/>
  <c r="CG45" i="14" s="1"/>
  <c r="CH46" i="14"/>
  <c r="CH45" i="14" s="1"/>
  <c r="Q45" i="14"/>
  <c r="Q46" i="14"/>
  <c r="T52" i="14"/>
  <c r="X52" i="14"/>
  <c r="AB52" i="14"/>
  <c r="AN52" i="14"/>
  <c r="AR52" i="14"/>
  <c r="AZ52" i="14"/>
  <c r="BD52" i="14"/>
  <c r="BP52" i="14"/>
  <c r="BT52" i="14"/>
  <c r="CB52" i="14"/>
  <c r="CF52" i="14"/>
  <c r="R53" i="14"/>
  <c r="R52" i="14" s="1"/>
  <c r="S53" i="14"/>
  <c r="S52" i="14" s="1"/>
  <c r="T53" i="14"/>
  <c r="U53" i="14"/>
  <c r="U52" i="14" s="1"/>
  <c r="V53" i="14"/>
  <c r="V52" i="14" s="1"/>
  <c r="W53" i="14"/>
  <c r="W52" i="14" s="1"/>
  <c r="X53" i="14"/>
  <c r="Y53" i="14"/>
  <c r="Y52" i="14" s="1"/>
  <c r="Z53" i="14"/>
  <c r="Z52" i="14" s="1"/>
  <c r="AA53" i="14"/>
  <c r="AA52" i="14" s="1"/>
  <c r="AB53" i="14"/>
  <c r="AC53" i="14"/>
  <c r="AC52" i="14" s="1"/>
  <c r="AD53" i="14"/>
  <c r="AD52" i="14" s="1"/>
  <c r="AE53" i="14"/>
  <c r="AE52" i="14" s="1"/>
  <c r="AF53" i="14"/>
  <c r="AF52" i="14" s="1"/>
  <c r="AG53" i="14"/>
  <c r="AG52" i="14" s="1"/>
  <c r="AI53" i="14"/>
  <c r="AI52" i="14" s="1"/>
  <c r="AJ53" i="14"/>
  <c r="AJ52" i="14" s="1"/>
  <c r="AK53" i="14"/>
  <c r="AK52" i="14" s="1"/>
  <c r="AL53" i="14"/>
  <c r="AL52" i="14" s="1"/>
  <c r="AM53" i="14"/>
  <c r="AM52" i="14" s="1"/>
  <c r="AN53" i="14"/>
  <c r="AO53" i="14"/>
  <c r="AO52" i="14" s="1"/>
  <c r="AP53" i="14"/>
  <c r="AP52" i="14" s="1"/>
  <c r="AQ53" i="14"/>
  <c r="AQ52" i="14" s="1"/>
  <c r="AR53" i="14"/>
  <c r="AT53" i="14"/>
  <c r="AT52" i="14" s="1"/>
  <c r="AU53" i="14"/>
  <c r="AU52" i="14" s="1"/>
  <c r="AV53" i="14"/>
  <c r="AV52" i="14" s="1"/>
  <c r="AW53" i="14"/>
  <c r="AW52" i="14" s="1"/>
  <c r="AX53" i="14"/>
  <c r="AX52" i="14" s="1"/>
  <c r="AY53" i="14"/>
  <c r="AY52" i="14" s="1"/>
  <c r="AZ53" i="14"/>
  <c r="BA53" i="14"/>
  <c r="BA52" i="14" s="1"/>
  <c r="BB53" i="14"/>
  <c r="BB52" i="14" s="1"/>
  <c r="BC53" i="14"/>
  <c r="BC52" i="14" s="1"/>
  <c r="BD53" i="14"/>
  <c r="BE53" i="14"/>
  <c r="BE52" i="14" s="1"/>
  <c r="BF53" i="14"/>
  <c r="BF52" i="14" s="1"/>
  <c r="BG53" i="14"/>
  <c r="BG52" i="14" s="1"/>
  <c r="BJ53" i="14"/>
  <c r="BJ52" i="14" s="1"/>
  <c r="BK53" i="14"/>
  <c r="BK52" i="14" s="1"/>
  <c r="BM53" i="14"/>
  <c r="BM52" i="14" s="1"/>
  <c r="BN53" i="14"/>
  <c r="BN52" i="14" s="1"/>
  <c r="BO53" i="14"/>
  <c r="BO52" i="14" s="1"/>
  <c r="BP53" i="14"/>
  <c r="BQ53" i="14"/>
  <c r="BQ52" i="14" s="1"/>
  <c r="BR53" i="14"/>
  <c r="BR52" i="14" s="1"/>
  <c r="BS53" i="14"/>
  <c r="BS52" i="14" s="1"/>
  <c r="BT53" i="14"/>
  <c r="BU53" i="14"/>
  <c r="BU52" i="14" s="1"/>
  <c r="BV53" i="14"/>
  <c r="BV52" i="14" s="1"/>
  <c r="BW53" i="14"/>
  <c r="BW52" i="14" s="1"/>
  <c r="BX53" i="14"/>
  <c r="BX52" i="14" s="1"/>
  <c r="BY53" i="14"/>
  <c r="BY52" i="14" s="1"/>
  <c r="BZ53" i="14"/>
  <c r="BZ52" i="14" s="1"/>
  <c r="CA53" i="14"/>
  <c r="CA52" i="14" s="1"/>
  <c r="CB53" i="14"/>
  <c r="CC53" i="14"/>
  <c r="CC52" i="14" s="1"/>
  <c r="CD53" i="14"/>
  <c r="CD52" i="14" s="1"/>
  <c r="CE53" i="14"/>
  <c r="CE52" i="14" s="1"/>
  <c r="CF53" i="14"/>
  <c r="CG53" i="14"/>
  <c r="CG52" i="14" s="1"/>
  <c r="CH53" i="14"/>
  <c r="CH52" i="14" s="1"/>
  <c r="Q52" i="14"/>
  <c r="Q5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B73" i="14"/>
  <c r="BC73" i="14"/>
  <c r="BD73" i="14"/>
  <c r="BE73" i="14"/>
  <c r="BF73" i="14"/>
  <c r="BG73" i="14"/>
  <c r="BJ73" i="14"/>
  <c r="BK73" i="14"/>
  <c r="BM73" i="14"/>
  <c r="BN73" i="14"/>
  <c r="BO73" i="14"/>
  <c r="BP73" i="14"/>
  <c r="BQ73" i="14"/>
  <c r="BR73" i="14"/>
  <c r="BS73" i="14"/>
  <c r="BT73" i="14"/>
  <c r="BU73" i="14"/>
  <c r="BV73" i="14"/>
  <c r="BW73" i="14"/>
  <c r="BX73" i="14"/>
  <c r="BY73" i="14"/>
  <c r="BZ73" i="14"/>
  <c r="CA73" i="14"/>
  <c r="CB73" i="14"/>
  <c r="CC73" i="14"/>
  <c r="CD73" i="14"/>
  <c r="CE73" i="14"/>
  <c r="CF73" i="14"/>
  <c r="CG73" i="14"/>
  <c r="CH73" i="14"/>
  <c r="Q73" i="14"/>
  <c r="R54" i="14"/>
  <c r="S54" i="14"/>
  <c r="T54" i="14"/>
  <c r="U54" i="14"/>
  <c r="V54" i="14"/>
  <c r="Q54" i="14"/>
  <c r="R41" i="14"/>
  <c r="S41" i="14"/>
  <c r="T41" i="14"/>
  <c r="U41" i="14"/>
  <c r="V41" i="14"/>
  <c r="Q41" i="14"/>
  <c r="AX62" i="14"/>
  <c r="AV62" i="14"/>
  <c r="AU62" i="14"/>
  <c r="AT62" i="14"/>
  <c r="AS62" i="14"/>
  <c r="AR62" i="14"/>
  <c r="AX19" i="14"/>
  <c r="AV19" i="14"/>
  <c r="AS19" i="14"/>
  <c r="AR19" i="14"/>
  <c r="AU19" i="14"/>
  <c r="AT19" i="14"/>
  <c r="BZ62" i="14"/>
  <c r="BX62" i="14"/>
  <c r="BW62" i="14"/>
  <c r="BV62" i="14"/>
  <c r="BU62" i="14"/>
  <c r="BT62" i="14"/>
  <c r="BW19" i="14"/>
  <c r="BV19" i="14"/>
  <c r="BZ19" i="14"/>
  <c r="BX19" i="14"/>
  <c r="BU19" i="14"/>
  <c r="BT19" i="14"/>
  <c r="AA58" i="37"/>
  <c r="AI58" i="37" s="1"/>
  <c r="AI53" i="37" s="1"/>
  <c r="AI52" i="37" s="1"/>
  <c r="AB58" i="37"/>
  <c r="AC58" i="37"/>
  <c r="AD58" i="37"/>
  <c r="AE58" i="37"/>
  <c r="AM58" i="37" s="1"/>
  <c r="AM53" i="37" s="1"/>
  <c r="AM52" i="37" s="1"/>
  <c r="AF58" i="37"/>
  <c r="Z58" i="37"/>
  <c r="AA43" i="37"/>
  <c r="AB43" i="37"/>
  <c r="AB40" i="37" s="1"/>
  <c r="AB39" i="37" s="1"/>
  <c r="AC43" i="37"/>
  <c r="AK43" i="37" s="1"/>
  <c r="AD43" i="37"/>
  <c r="AE43" i="37"/>
  <c r="AF43" i="37"/>
  <c r="AF40" i="37" s="1"/>
  <c r="AF39" i="37" s="1"/>
  <c r="Z43" i="37"/>
  <c r="AA75" i="36"/>
  <c r="AB75" i="36"/>
  <c r="AJ75" i="36" s="1"/>
  <c r="AJ73" i="36" s="1"/>
  <c r="AC75" i="36"/>
  <c r="AD75" i="36"/>
  <c r="AE75" i="36"/>
  <c r="AF75" i="36"/>
  <c r="AN75" i="36" s="1"/>
  <c r="AN73" i="36" s="1"/>
  <c r="Z75" i="36"/>
  <c r="AA57" i="36"/>
  <c r="AA53" i="36" s="1"/>
  <c r="AA52" i="36" s="1"/>
  <c r="AB57" i="36"/>
  <c r="AJ57" i="36" s="1"/>
  <c r="AJ53" i="36" s="1"/>
  <c r="AJ52" i="36" s="1"/>
  <c r="AC57" i="36"/>
  <c r="AD57" i="36"/>
  <c r="AE57" i="36"/>
  <c r="AE53" i="36" s="1"/>
  <c r="AE52" i="36" s="1"/>
  <c r="AF57" i="36"/>
  <c r="AN57" i="36" s="1"/>
  <c r="Z57" i="36"/>
  <c r="AA50" i="36"/>
  <c r="AB50" i="36"/>
  <c r="AC50" i="36"/>
  <c r="AC46" i="36" s="1"/>
  <c r="AC45" i="36" s="1"/>
  <c r="AD50" i="36"/>
  <c r="AL50" i="36" s="1"/>
  <c r="AE50" i="36"/>
  <c r="AF50" i="36"/>
  <c r="Z50" i="36"/>
  <c r="AA42" i="36"/>
  <c r="AA40" i="36" s="1"/>
  <c r="AA39" i="36" s="1"/>
  <c r="AB42" i="36"/>
  <c r="AJ42" i="36" s="1"/>
  <c r="AJ40" i="36" s="1"/>
  <c r="AJ39" i="36" s="1"/>
  <c r="AC42" i="36"/>
  <c r="AK42" i="36" s="1"/>
  <c r="AK40" i="36" s="1"/>
  <c r="AK39" i="36" s="1"/>
  <c r="AD42" i="36"/>
  <c r="AE42" i="36"/>
  <c r="AE40" i="36" s="1"/>
  <c r="AE39" i="36" s="1"/>
  <c r="AF42" i="36"/>
  <c r="AN42" i="36" s="1"/>
  <c r="Z42" i="36"/>
  <c r="AA74" i="35"/>
  <c r="AA73" i="35" s="1"/>
  <c r="AB74" i="35"/>
  <c r="AJ74" i="35" s="1"/>
  <c r="AJ73" i="35" s="1"/>
  <c r="AC74" i="35"/>
  <c r="AK74" i="35" s="1"/>
  <c r="AK73" i="35" s="1"/>
  <c r="AD74" i="35"/>
  <c r="AE74" i="35"/>
  <c r="AE73" i="35" s="1"/>
  <c r="AF74" i="35"/>
  <c r="AN74" i="35" s="1"/>
  <c r="AN73" i="35" s="1"/>
  <c r="Z74" i="35"/>
  <c r="AA56" i="35"/>
  <c r="AI56" i="35" s="1"/>
  <c r="AI53" i="35" s="1"/>
  <c r="AI52" i="35" s="1"/>
  <c r="AB56" i="35"/>
  <c r="AB53" i="35" s="1"/>
  <c r="AB52" i="35" s="1"/>
  <c r="AC56" i="35"/>
  <c r="AD56" i="35"/>
  <c r="AE56" i="35"/>
  <c r="AM56" i="35" s="1"/>
  <c r="AM53" i="35" s="1"/>
  <c r="AM52" i="35" s="1"/>
  <c r="AF56" i="35"/>
  <c r="AF53" i="35" s="1"/>
  <c r="AF52" i="35" s="1"/>
  <c r="Z56" i="35"/>
  <c r="AH56" i="35" s="1"/>
  <c r="Z48" i="35"/>
  <c r="Z46" i="35" s="1"/>
  <c r="Z45" i="35" s="1"/>
  <c r="AA48" i="35"/>
  <c r="AB48" i="35"/>
  <c r="AJ48" i="35" s="1"/>
  <c r="AC48" i="35"/>
  <c r="AD48" i="35"/>
  <c r="AE48" i="35"/>
  <c r="AF48" i="35"/>
  <c r="AN48" i="35" s="1"/>
  <c r="AA47" i="35"/>
  <c r="AB47" i="35"/>
  <c r="AC47" i="35"/>
  <c r="AD47" i="35"/>
  <c r="AE47" i="35"/>
  <c r="AF47" i="35"/>
  <c r="Z47" i="35"/>
  <c r="AA55" i="31"/>
  <c r="AB55" i="31"/>
  <c r="AJ55" i="31" s="1"/>
  <c r="AJ53" i="31" s="1"/>
  <c r="AJ52" i="31" s="1"/>
  <c r="AC55" i="31"/>
  <c r="AD55" i="31"/>
  <c r="AE55" i="31"/>
  <c r="AF55" i="31"/>
  <c r="Z55" i="31"/>
  <c r="AA47" i="31"/>
  <c r="AA46" i="31" s="1"/>
  <c r="AA45" i="31" s="1"/>
  <c r="AB47" i="31"/>
  <c r="AB46" i="31" s="1"/>
  <c r="AB45" i="31" s="1"/>
  <c r="AC47" i="31"/>
  <c r="AD47" i="31"/>
  <c r="AE47" i="31"/>
  <c r="AE46" i="31" s="1"/>
  <c r="AE45" i="31" s="1"/>
  <c r="AF47" i="31"/>
  <c r="AF46" i="31" s="1"/>
  <c r="AF45" i="31" s="1"/>
  <c r="Z47" i="31"/>
  <c r="AN75" i="37"/>
  <c r="AM75" i="37"/>
  <c r="AL75" i="37"/>
  <c r="AK75" i="37"/>
  <c r="AJ75" i="37"/>
  <c r="AI75" i="37"/>
  <c r="AH75" i="37"/>
  <c r="AN74" i="37"/>
  <c r="AM74" i="37"/>
  <c r="AM73" i="37" s="1"/>
  <c r="AL74" i="37"/>
  <c r="AL73" i="37" s="1"/>
  <c r="AK74" i="37"/>
  <c r="AJ74" i="37"/>
  <c r="AI74" i="37"/>
  <c r="AI73" i="37" s="1"/>
  <c r="AH74" i="37"/>
  <c r="AH73" i="37" s="1"/>
  <c r="AN73" i="37"/>
  <c r="AK73" i="37"/>
  <c r="AJ73" i="37"/>
  <c r="AG73" i="37"/>
  <c r="AF73" i="37"/>
  <c r="AE73" i="37"/>
  <c r="AD73" i="37"/>
  <c r="AC73" i="37"/>
  <c r="AB73" i="37"/>
  <c r="AA73" i="37"/>
  <c r="Z73" i="37"/>
  <c r="Y73" i="37"/>
  <c r="X73" i="37"/>
  <c r="W73" i="37"/>
  <c r="V73" i="37"/>
  <c r="U73" i="37"/>
  <c r="T73" i="37"/>
  <c r="S73" i="37"/>
  <c r="R73" i="37"/>
  <c r="Q73" i="37"/>
  <c r="P73" i="37"/>
  <c r="O73" i="37"/>
  <c r="N73" i="37"/>
  <c r="M73" i="37"/>
  <c r="L73" i="37"/>
  <c r="K73" i="37"/>
  <c r="J73" i="37"/>
  <c r="I73" i="37"/>
  <c r="H73" i="37"/>
  <c r="G73" i="37"/>
  <c r="F73" i="37"/>
  <c r="E73" i="37"/>
  <c r="D73" i="37"/>
  <c r="AN62" i="37"/>
  <c r="AL62" i="37"/>
  <c r="AK62" i="37"/>
  <c r="AJ62" i="37"/>
  <c r="AI62" i="37"/>
  <c r="AH62" i="37"/>
  <c r="AG62" i="37"/>
  <c r="AF62" i="37"/>
  <c r="AD62" i="37"/>
  <c r="AC62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O62" i="37"/>
  <c r="N62" i="37"/>
  <c r="M62" i="37"/>
  <c r="L62" i="37"/>
  <c r="K62" i="37"/>
  <c r="J62" i="37"/>
  <c r="I62" i="37"/>
  <c r="H62" i="37"/>
  <c r="G62" i="37"/>
  <c r="F62" i="37"/>
  <c r="E62" i="37"/>
  <c r="D62" i="37"/>
  <c r="AN58" i="37"/>
  <c r="AL58" i="37"/>
  <c r="AK58" i="37"/>
  <c r="AJ58" i="37"/>
  <c r="AJ53" i="37" s="1"/>
  <c r="AJ52" i="37" s="1"/>
  <c r="AH58" i="37"/>
  <c r="AN57" i="37"/>
  <c r="AM57" i="37"/>
  <c r="AL57" i="37"/>
  <c r="AK57" i="37"/>
  <c r="AJ57" i="37"/>
  <c r="AI57" i="37"/>
  <c r="AH57" i="37"/>
  <c r="AN56" i="37"/>
  <c r="AM56" i="37"/>
  <c r="AL56" i="37"/>
  <c r="AK56" i="37"/>
  <c r="AJ56" i="37"/>
  <c r="AI56" i="37"/>
  <c r="AH56" i="37"/>
  <c r="AN55" i="37"/>
  <c r="AM55" i="37"/>
  <c r="AL55" i="37"/>
  <c r="AK55" i="37"/>
  <c r="AJ55" i="37"/>
  <c r="AI55" i="37"/>
  <c r="AH55" i="37"/>
  <c r="AN54" i="37"/>
  <c r="AM54" i="37"/>
  <c r="AL54" i="37"/>
  <c r="AL53" i="37" s="1"/>
  <c r="AL52" i="37" s="1"/>
  <c r="AK54" i="37"/>
  <c r="AK53" i="37" s="1"/>
  <c r="AK52" i="37" s="1"/>
  <c r="AJ54" i="37"/>
  <c r="AI54" i="37"/>
  <c r="AH54" i="37"/>
  <c r="AH53" i="37" s="1"/>
  <c r="AH52" i="37" s="1"/>
  <c r="AN53" i="37"/>
  <c r="AN52" i="37" s="1"/>
  <c r="AG53" i="37"/>
  <c r="AF53" i="37"/>
  <c r="AD53" i="37"/>
  <c r="AD52" i="37" s="1"/>
  <c r="AC53" i="37"/>
  <c r="AC52" i="37" s="1"/>
  <c r="AB53" i="37"/>
  <c r="Z53" i="37"/>
  <c r="Z52" i="37" s="1"/>
  <c r="Y53" i="37"/>
  <c r="X53" i="37"/>
  <c r="W53" i="37"/>
  <c r="W52" i="37" s="1"/>
  <c r="V53" i="37"/>
  <c r="U53" i="37"/>
  <c r="T53" i="37"/>
  <c r="S53" i="37"/>
  <c r="S52" i="37" s="1"/>
  <c r="R53" i="37"/>
  <c r="Q53" i="37"/>
  <c r="P53" i="37"/>
  <c r="O53" i="37"/>
  <c r="O52" i="37" s="1"/>
  <c r="N53" i="37"/>
  <c r="M53" i="37"/>
  <c r="L53" i="37"/>
  <c r="K53" i="37"/>
  <c r="K52" i="37" s="1"/>
  <c r="J53" i="37"/>
  <c r="I53" i="37"/>
  <c r="H53" i="37"/>
  <c r="G53" i="37"/>
  <c r="G52" i="37" s="1"/>
  <c r="F53" i="37"/>
  <c r="E53" i="37"/>
  <c r="D53" i="37"/>
  <c r="AG52" i="37"/>
  <c r="AF52" i="37"/>
  <c r="AB52" i="37"/>
  <c r="Y52" i="37"/>
  <c r="X52" i="37"/>
  <c r="V52" i="37"/>
  <c r="U52" i="37"/>
  <c r="T52" i="37"/>
  <c r="R52" i="37"/>
  <c r="Q52" i="37"/>
  <c r="P52" i="37"/>
  <c r="N52" i="37"/>
  <c r="M52" i="37"/>
  <c r="L52" i="37"/>
  <c r="J52" i="37"/>
  <c r="I52" i="37"/>
  <c r="H52" i="37"/>
  <c r="F52" i="37"/>
  <c r="E52" i="37"/>
  <c r="D52" i="37"/>
  <c r="AN50" i="37"/>
  <c r="AM50" i="37"/>
  <c r="AL50" i="37"/>
  <c r="AK50" i="37"/>
  <c r="AJ50" i="37"/>
  <c r="AI50" i="37"/>
  <c r="AH50" i="37"/>
  <c r="AN49" i="37"/>
  <c r="AM49" i="37"/>
  <c r="AL49" i="37"/>
  <c r="AK49" i="37"/>
  <c r="AJ49" i="37"/>
  <c r="AI49" i="37"/>
  <c r="AH49" i="37"/>
  <c r="AN48" i="37"/>
  <c r="AM48" i="37"/>
  <c r="AL48" i="37"/>
  <c r="AK48" i="37"/>
  <c r="AJ48" i="37"/>
  <c r="AI48" i="37"/>
  <c r="AH48" i="37"/>
  <c r="AG48" i="37"/>
  <c r="AG46" i="37" s="1"/>
  <c r="AG45" i="37" s="1"/>
  <c r="AG38" i="37" s="1"/>
  <c r="AG18" i="37" s="1"/>
  <c r="AG17" i="37" s="1"/>
  <c r="AN47" i="37"/>
  <c r="AN46" i="37" s="1"/>
  <c r="AN45" i="37" s="1"/>
  <c r="AM47" i="37"/>
  <c r="AL47" i="37"/>
  <c r="AK47" i="37"/>
  <c r="AK46" i="37" s="1"/>
  <c r="AK45" i="37" s="1"/>
  <c r="AJ47" i="37"/>
  <c r="AJ46" i="37" s="1"/>
  <c r="AJ45" i="37" s="1"/>
  <c r="AI47" i="37"/>
  <c r="AH47" i="37"/>
  <c r="AM46" i="37"/>
  <c r="AL46" i="37"/>
  <c r="AL45" i="37" s="1"/>
  <c r="AI46" i="37"/>
  <c r="AH46" i="37"/>
  <c r="AH45" i="37" s="1"/>
  <c r="AF46" i="37"/>
  <c r="AE46" i="37"/>
  <c r="AD46" i="37"/>
  <c r="AD45" i="37" s="1"/>
  <c r="AC46" i="37"/>
  <c r="AB46" i="37"/>
  <c r="AA46" i="37"/>
  <c r="AA45" i="37" s="1"/>
  <c r="Z46" i="37"/>
  <c r="Z45" i="37" s="1"/>
  <c r="Y46" i="37"/>
  <c r="X46" i="37"/>
  <c r="W46" i="37"/>
  <c r="W45" i="37" s="1"/>
  <c r="V46" i="37"/>
  <c r="V45" i="37" s="1"/>
  <c r="U46" i="37"/>
  <c r="T46" i="37"/>
  <c r="S46" i="37"/>
  <c r="S45" i="37" s="1"/>
  <c r="R46" i="37"/>
  <c r="R45" i="37" s="1"/>
  <c r="Q46" i="37"/>
  <c r="P46" i="37"/>
  <c r="O46" i="37"/>
  <c r="O45" i="37" s="1"/>
  <c r="N46" i="37"/>
  <c r="N45" i="37" s="1"/>
  <c r="M46" i="37"/>
  <c r="L46" i="37"/>
  <c r="K46" i="37"/>
  <c r="K45" i="37" s="1"/>
  <c r="J46" i="37"/>
  <c r="J45" i="37" s="1"/>
  <c r="I46" i="37"/>
  <c r="H46" i="37"/>
  <c r="G46" i="37"/>
  <c r="G45" i="37" s="1"/>
  <c r="F46" i="37"/>
  <c r="F45" i="37" s="1"/>
  <c r="E46" i="37"/>
  <c r="D46" i="37"/>
  <c r="AM45" i="37"/>
  <c r="AI45" i="37"/>
  <c r="AF45" i="37"/>
  <c r="AE45" i="37"/>
  <c r="AC45" i="37"/>
  <c r="AB45" i="37"/>
  <c r="Y45" i="37"/>
  <c r="X45" i="37"/>
  <c r="U45" i="37"/>
  <c r="T45" i="37"/>
  <c r="Q45" i="37"/>
  <c r="P45" i="37"/>
  <c r="M45" i="37"/>
  <c r="L45" i="37"/>
  <c r="I45" i="37"/>
  <c r="H45" i="37"/>
  <c r="E45" i="37"/>
  <c r="D45" i="37"/>
  <c r="AN43" i="37"/>
  <c r="AM43" i="37"/>
  <c r="AM40" i="37" s="1"/>
  <c r="AM39" i="37" s="1"/>
  <c r="AL43" i="37"/>
  <c r="AJ43" i="37"/>
  <c r="AI43" i="37"/>
  <c r="AI40" i="37" s="1"/>
  <c r="AI39" i="37" s="1"/>
  <c r="AH43" i="37"/>
  <c r="AH40" i="37" s="1"/>
  <c r="AH39" i="37" s="1"/>
  <c r="AH38" i="37" s="1"/>
  <c r="AH18" i="37" s="1"/>
  <c r="AH17" i="37" s="1"/>
  <c r="AN42" i="37"/>
  <c r="AN40" i="37" s="1"/>
  <c r="AN39" i="37" s="1"/>
  <c r="AM42" i="37"/>
  <c r="AL42" i="37"/>
  <c r="AK42" i="37"/>
  <c r="AJ42" i="37"/>
  <c r="AJ40" i="37" s="1"/>
  <c r="AJ39" i="37" s="1"/>
  <c r="AI42" i="37"/>
  <c r="AH42" i="37"/>
  <c r="AN41" i="37"/>
  <c r="AM41" i="37"/>
  <c r="AL41" i="37"/>
  <c r="AK41" i="37"/>
  <c r="AJ41" i="37"/>
  <c r="AI41" i="37"/>
  <c r="AH41" i="37"/>
  <c r="AG41" i="37"/>
  <c r="AL40" i="37"/>
  <c r="AL39" i="37" s="1"/>
  <c r="AG40" i="37"/>
  <c r="AE40" i="37"/>
  <c r="AD40" i="37"/>
  <c r="AD39" i="37" s="1"/>
  <c r="AC40" i="37"/>
  <c r="AC39" i="37" s="1"/>
  <c r="AA40" i="37"/>
  <c r="AA39" i="37" s="1"/>
  <c r="Z40" i="37"/>
  <c r="Z39" i="37" s="1"/>
  <c r="Y40" i="37"/>
  <c r="X40" i="37"/>
  <c r="W40" i="37"/>
  <c r="V40" i="37"/>
  <c r="V39" i="37" s="1"/>
  <c r="V38" i="37" s="1"/>
  <c r="V18" i="37" s="1"/>
  <c r="V17" i="37" s="1"/>
  <c r="U40" i="37"/>
  <c r="T40" i="37"/>
  <c r="S40" i="37"/>
  <c r="R40" i="37"/>
  <c r="R39" i="37" s="1"/>
  <c r="R38" i="37" s="1"/>
  <c r="R18" i="37" s="1"/>
  <c r="R17" i="37" s="1"/>
  <c r="Q40" i="37"/>
  <c r="P40" i="37"/>
  <c r="O40" i="37"/>
  <c r="N40" i="37"/>
  <c r="N39" i="37" s="1"/>
  <c r="N38" i="37" s="1"/>
  <c r="N18" i="37" s="1"/>
  <c r="N17" i="37" s="1"/>
  <c r="M40" i="37"/>
  <c r="L40" i="37"/>
  <c r="K40" i="37"/>
  <c r="J40" i="37"/>
  <c r="J39" i="37" s="1"/>
  <c r="J38" i="37" s="1"/>
  <c r="J18" i="37" s="1"/>
  <c r="J17" i="37" s="1"/>
  <c r="I40" i="37"/>
  <c r="H40" i="37"/>
  <c r="G40" i="37"/>
  <c r="F40" i="37"/>
  <c r="F39" i="37" s="1"/>
  <c r="F38" i="37" s="1"/>
  <c r="F18" i="37" s="1"/>
  <c r="F17" i="37" s="1"/>
  <c r="E40" i="37"/>
  <c r="D40" i="37"/>
  <c r="AG39" i="37"/>
  <c r="AE39" i="37"/>
  <c r="Y39" i="37"/>
  <c r="X39" i="37"/>
  <c r="W39" i="37"/>
  <c r="W38" i="37" s="1"/>
  <c r="W18" i="37" s="1"/>
  <c r="W17" i="37" s="1"/>
  <c r="U39" i="37"/>
  <c r="T39" i="37"/>
  <c r="S39" i="37"/>
  <c r="S38" i="37" s="1"/>
  <c r="S18" i="37" s="1"/>
  <c r="S17" i="37" s="1"/>
  <c r="Q39" i="37"/>
  <c r="P39" i="37"/>
  <c r="O39" i="37"/>
  <c r="M39" i="37"/>
  <c r="L39" i="37"/>
  <c r="K39" i="37"/>
  <c r="I39" i="37"/>
  <c r="H39" i="37"/>
  <c r="G39" i="37"/>
  <c r="G38" i="37" s="1"/>
  <c r="G18" i="37" s="1"/>
  <c r="G17" i="37" s="1"/>
  <c r="E39" i="37"/>
  <c r="D39" i="37"/>
  <c r="Y38" i="37"/>
  <c r="X38" i="37"/>
  <c r="U38" i="37"/>
  <c r="T38" i="37"/>
  <c r="Q38" i="37"/>
  <c r="P38" i="37"/>
  <c r="M38" i="37"/>
  <c r="L38" i="37"/>
  <c r="I38" i="37"/>
  <c r="H38" i="37"/>
  <c r="E38" i="37"/>
  <c r="D38" i="37"/>
  <c r="AN19" i="37"/>
  <c r="AL19" i="37"/>
  <c r="AK19" i="37"/>
  <c r="AJ19" i="37"/>
  <c r="AI19" i="37"/>
  <c r="AH19" i="37"/>
  <c r="AG19" i="37"/>
  <c r="AF19" i="37"/>
  <c r="AD19" i="37"/>
  <c r="AC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Y18" i="37"/>
  <c r="X18" i="37"/>
  <c r="X17" i="37" s="1"/>
  <c r="U18" i="37"/>
  <c r="T18" i="37"/>
  <c r="T17" i="37" s="1"/>
  <c r="Q18" i="37"/>
  <c r="P18" i="37"/>
  <c r="P17" i="37" s="1"/>
  <c r="M18" i="37"/>
  <c r="L18" i="37"/>
  <c r="L17" i="37" s="1"/>
  <c r="I18" i="37"/>
  <c r="H18" i="37"/>
  <c r="H17" i="37" s="1"/>
  <c r="E18" i="37"/>
  <c r="D18" i="37"/>
  <c r="D17" i="37" s="1"/>
  <c r="Y17" i="37"/>
  <c r="U17" i="37"/>
  <c r="Q17" i="37"/>
  <c r="M17" i="37"/>
  <c r="I17" i="37"/>
  <c r="E17" i="37"/>
  <c r="AM75" i="36"/>
  <c r="AL75" i="36"/>
  <c r="AK75" i="36"/>
  <c r="AI75" i="36"/>
  <c r="AH75" i="36"/>
  <c r="AN74" i="36"/>
  <c r="AM74" i="36"/>
  <c r="AL74" i="36"/>
  <c r="AK74" i="36"/>
  <c r="AJ74" i="36"/>
  <c r="AI74" i="36"/>
  <c r="AH74" i="36"/>
  <c r="AK73" i="36"/>
  <c r="AG73" i="36"/>
  <c r="AE73" i="36"/>
  <c r="AD73" i="36"/>
  <c r="AC73" i="36"/>
  <c r="AA73" i="36"/>
  <c r="Z73" i="36"/>
  <c r="Y73" i="36"/>
  <c r="X73" i="36"/>
  <c r="W73" i="36"/>
  <c r="V73" i="36"/>
  <c r="U73" i="36"/>
  <c r="T73" i="36"/>
  <c r="S73" i="36"/>
  <c r="R73" i="36"/>
  <c r="Q73" i="36"/>
  <c r="P73" i="36"/>
  <c r="O73" i="36"/>
  <c r="N73" i="36"/>
  <c r="M73" i="36"/>
  <c r="L73" i="36"/>
  <c r="K73" i="36"/>
  <c r="J73" i="36"/>
  <c r="I73" i="36"/>
  <c r="H73" i="36"/>
  <c r="G73" i="36"/>
  <c r="F73" i="36"/>
  <c r="E73" i="36"/>
  <c r="D73" i="36"/>
  <c r="AN62" i="36"/>
  <c r="AL62" i="36"/>
  <c r="AK62" i="36"/>
  <c r="AJ62" i="36"/>
  <c r="AI62" i="36"/>
  <c r="AH62" i="36"/>
  <c r="AG62" i="36"/>
  <c r="AF62" i="36"/>
  <c r="AD62" i="36"/>
  <c r="AC62" i="36"/>
  <c r="AB62" i="36"/>
  <c r="AA62" i="36"/>
  <c r="Z62" i="36"/>
  <c r="Y62" i="36"/>
  <c r="X62" i="36"/>
  <c r="W62" i="36"/>
  <c r="V62" i="36"/>
  <c r="U62" i="36"/>
  <c r="T62" i="36"/>
  <c r="S62" i="36"/>
  <c r="R62" i="36"/>
  <c r="Q62" i="36"/>
  <c r="P62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AN58" i="36"/>
  <c r="AM58" i="36"/>
  <c r="AL58" i="36"/>
  <c r="AK58" i="36"/>
  <c r="AJ58" i="36"/>
  <c r="AI58" i="36"/>
  <c r="AH58" i="36"/>
  <c r="AM57" i="36"/>
  <c r="AL57" i="36"/>
  <c r="AK57" i="36"/>
  <c r="AI57" i="36"/>
  <c r="AH57" i="36"/>
  <c r="AN56" i="36"/>
  <c r="AM56" i="36"/>
  <c r="AL56" i="36"/>
  <c r="AK56" i="36"/>
  <c r="AJ56" i="36"/>
  <c r="AI56" i="36"/>
  <c r="AH56" i="36"/>
  <c r="AN55" i="36"/>
  <c r="AM55" i="36"/>
  <c r="AL55" i="36"/>
  <c r="AK55" i="36"/>
  <c r="AJ55" i="36"/>
  <c r="AI55" i="36"/>
  <c r="AI53" i="36" s="1"/>
  <c r="AI52" i="36" s="1"/>
  <c r="AH55" i="36"/>
  <c r="AN54" i="36"/>
  <c r="AM54" i="36"/>
  <c r="AL54" i="36"/>
  <c r="AL53" i="36" s="1"/>
  <c r="AL52" i="36" s="1"/>
  <c r="AK54" i="36"/>
  <c r="AJ54" i="36"/>
  <c r="AI54" i="36"/>
  <c r="AH54" i="36"/>
  <c r="AG53" i="36"/>
  <c r="AF53" i="36"/>
  <c r="AF52" i="36" s="1"/>
  <c r="AD53" i="36"/>
  <c r="AC53" i="36"/>
  <c r="AB53" i="36"/>
  <c r="AB52" i="36" s="1"/>
  <c r="Z53" i="36"/>
  <c r="Y53" i="36"/>
  <c r="X53" i="36"/>
  <c r="X52" i="36" s="1"/>
  <c r="W53" i="36"/>
  <c r="V53" i="36"/>
  <c r="U53" i="36"/>
  <c r="T53" i="36"/>
  <c r="T52" i="36" s="1"/>
  <c r="S53" i="36"/>
  <c r="R53" i="36"/>
  <c r="Q53" i="36"/>
  <c r="P53" i="36"/>
  <c r="P52" i="36" s="1"/>
  <c r="O53" i="36"/>
  <c r="N53" i="36"/>
  <c r="M53" i="36"/>
  <c r="L53" i="36"/>
  <c r="L52" i="36" s="1"/>
  <c r="K53" i="36"/>
  <c r="J53" i="36"/>
  <c r="I53" i="36"/>
  <c r="H53" i="36"/>
  <c r="H52" i="36" s="1"/>
  <c r="G53" i="36"/>
  <c r="F53" i="36"/>
  <c r="E53" i="36"/>
  <c r="D53" i="36"/>
  <c r="D52" i="36" s="1"/>
  <c r="AG52" i="36"/>
  <c r="AD52" i="36"/>
  <c r="AC52" i="36"/>
  <c r="Z52" i="36"/>
  <c r="Y52" i="36"/>
  <c r="W52" i="36"/>
  <c r="V52" i="36"/>
  <c r="U52" i="36"/>
  <c r="S52" i="36"/>
  <c r="R52" i="36"/>
  <c r="Q52" i="36"/>
  <c r="O52" i="36"/>
  <c r="N52" i="36"/>
  <c r="M52" i="36"/>
  <c r="K52" i="36"/>
  <c r="J52" i="36"/>
  <c r="I52" i="36"/>
  <c r="G52" i="36"/>
  <c r="F52" i="36"/>
  <c r="E52" i="36"/>
  <c r="AN50" i="36"/>
  <c r="AM50" i="36"/>
  <c r="AJ50" i="36"/>
  <c r="AI50" i="36"/>
  <c r="AI46" i="36" s="1"/>
  <c r="AI45" i="36" s="1"/>
  <c r="AH50" i="36"/>
  <c r="AN49" i="36"/>
  <c r="AM49" i="36"/>
  <c r="AL49" i="36"/>
  <c r="AK49" i="36"/>
  <c r="AJ49" i="36"/>
  <c r="AI49" i="36"/>
  <c r="AH49" i="36"/>
  <c r="AH46" i="36" s="1"/>
  <c r="AH45" i="36" s="1"/>
  <c r="AN48" i="36"/>
  <c r="AM48" i="36"/>
  <c r="AL48" i="36"/>
  <c r="AK48" i="36"/>
  <c r="AJ48" i="36"/>
  <c r="AI48" i="36"/>
  <c r="AH48" i="36"/>
  <c r="AG48" i="36"/>
  <c r="AG46" i="36" s="1"/>
  <c r="AG45" i="36" s="1"/>
  <c r="AG38" i="36" s="1"/>
  <c r="AG18" i="36" s="1"/>
  <c r="AG17" i="36" s="1"/>
  <c r="AN47" i="36"/>
  <c r="AM47" i="36"/>
  <c r="AM46" i="36" s="1"/>
  <c r="AM45" i="36" s="1"/>
  <c r="AL47" i="36"/>
  <c r="AK47" i="36"/>
  <c r="AJ47" i="36"/>
  <c r="AI47" i="36"/>
  <c r="AH47" i="36"/>
  <c r="AF46" i="36"/>
  <c r="AE46" i="36"/>
  <c r="AE45" i="36" s="1"/>
  <c r="AD46" i="36"/>
  <c r="AB46" i="36"/>
  <c r="AA46" i="36"/>
  <c r="AA45" i="36" s="1"/>
  <c r="Z46" i="36"/>
  <c r="Z45" i="36" s="1"/>
  <c r="Z38" i="36" s="1"/>
  <c r="Z18" i="36" s="1"/>
  <c r="Z17" i="36" s="1"/>
  <c r="Y46" i="36"/>
  <c r="X46" i="36"/>
  <c r="W46" i="36"/>
  <c r="W45" i="36" s="1"/>
  <c r="V46" i="36"/>
  <c r="U46" i="36"/>
  <c r="T46" i="36"/>
  <c r="S46" i="36"/>
  <c r="S45" i="36" s="1"/>
  <c r="R46" i="36"/>
  <c r="Q46" i="36"/>
  <c r="P46" i="36"/>
  <c r="O46" i="36"/>
  <c r="O45" i="36" s="1"/>
  <c r="N46" i="36"/>
  <c r="M46" i="36"/>
  <c r="L46" i="36"/>
  <c r="K46" i="36"/>
  <c r="K45" i="36" s="1"/>
  <c r="J46" i="36"/>
  <c r="I46" i="36"/>
  <c r="H46" i="36"/>
  <c r="G46" i="36"/>
  <c r="G45" i="36" s="1"/>
  <c r="F46" i="36"/>
  <c r="E46" i="36"/>
  <c r="D46" i="36"/>
  <c r="AF45" i="36"/>
  <c r="AD45" i="36"/>
  <c r="AB45" i="36"/>
  <c r="Y45" i="36"/>
  <c r="X45" i="36"/>
  <c r="V45" i="36"/>
  <c r="U45" i="36"/>
  <c r="T45" i="36"/>
  <c r="R45" i="36"/>
  <c r="Q45" i="36"/>
  <c r="P45" i="36"/>
  <c r="N45" i="36"/>
  <c r="M45" i="36"/>
  <c r="L45" i="36"/>
  <c r="J45" i="36"/>
  <c r="I45" i="36"/>
  <c r="H45" i="36"/>
  <c r="F45" i="36"/>
  <c r="E45" i="36"/>
  <c r="D45" i="36"/>
  <c r="AN43" i="36"/>
  <c r="AM43" i="36"/>
  <c r="AL43" i="36"/>
  <c r="AK43" i="36"/>
  <c r="AJ43" i="36"/>
  <c r="AI43" i="36"/>
  <c r="AH43" i="36"/>
  <c r="AH40" i="36" s="1"/>
  <c r="AH39" i="36" s="1"/>
  <c r="AM42" i="36"/>
  <c r="AL42" i="36"/>
  <c r="AI42" i="36"/>
  <c r="AI40" i="36" s="1"/>
  <c r="AI39" i="36" s="1"/>
  <c r="AH42" i="36"/>
  <c r="AN41" i="36"/>
  <c r="AM41" i="36"/>
  <c r="AL41" i="36"/>
  <c r="AK41" i="36"/>
  <c r="AJ41" i="36"/>
  <c r="AI41" i="36"/>
  <c r="AH41" i="36"/>
  <c r="AG41" i="36"/>
  <c r="AG40" i="36"/>
  <c r="AF40" i="36"/>
  <c r="AF39" i="36" s="1"/>
  <c r="AD40" i="36"/>
  <c r="AC40" i="36"/>
  <c r="AB40" i="36"/>
  <c r="AB39" i="36" s="1"/>
  <c r="Z40" i="36"/>
  <c r="Y40" i="36"/>
  <c r="X40" i="36"/>
  <c r="W40" i="36"/>
  <c r="W39" i="36" s="1"/>
  <c r="W38" i="36" s="1"/>
  <c r="W18" i="36" s="1"/>
  <c r="W17" i="36" s="1"/>
  <c r="V40" i="36"/>
  <c r="U40" i="36"/>
  <c r="T40" i="36"/>
  <c r="S40" i="36"/>
  <c r="S39" i="36" s="1"/>
  <c r="S38" i="36" s="1"/>
  <c r="S18" i="36" s="1"/>
  <c r="S17" i="36" s="1"/>
  <c r="R40" i="36"/>
  <c r="Q40" i="36"/>
  <c r="P40" i="36"/>
  <c r="O40" i="36"/>
  <c r="O39" i="36" s="1"/>
  <c r="O38" i="36" s="1"/>
  <c r="O18" i="36" s="1"/>
  <c r="O17" i="36" s="1"/>
  <c r="N40" i="36"/>
  <c r="M40" i="36"/>
  <c r="L40" i="36"/>
  <c r="K40" i="36"/>
  <c r="K39" i="36" s="1"/>
  <c r="K38" i="36" s="1"/>
  <c r="K18" i="36" s="1"/>
  <c r="K17" i="36" s="1"/>
  <c r="J40" i="36"/>
  <c r="I40" i="36"/>
  <c r="H40" i="36"/>
  <c r="G40" i="36"/>
  <c r="G39" i="36" s="1"/>
  <c r="G38" i="36" s="1"/>
  <c r="G18" i="36" s="1"/>
  <c r="G17" i="36" s="1"/>
  <c r="F40" i="36"/>
  <c r="E40" i="36"/>
  <c r="D40" i="36"/>
  <c r="AG39" i="36"/>
  <c r="AD39" i="36"/>
  <c r="AC39" i="36"/>
  <c r="Z39" i="36"/>
  <c r="Y39" i="36"/>
  <c r="X39" i="36"/>
  <c r="X38" i="36" s="1"/>
  <c r="X18" i="36" s="1"/>
  <c r="X17" i="36" s="1"/>
  <c r="V39" i="36"/>
  <c r="U39" i="36"/>
  <c r="T39" i="36"/>
  <c r="T38" i="36" s="1"/>
  <c r="T18" i="36" s="1"/>
  <c r="T17" i="36" s="1"/>
  <c r="R39" i="36"/>
  <c r="Q39" i="36"/>
  <c r="P39" i="36"/>
  <c r="P38" i="36" s="1"/>
  <c r="P18" i="36" s="1"/>
  <c r="P17" i="36" s="1"/>
  <c r="N39" i="36"/>
  <c r="M39" i="36"/>
  <c r="L39" i="36"/>
  <c r="L38" i="36" s="1"/>
  <c r="L18" i="36" s="1"/>
  <c r="L17" i="36" s="1"/>
  <c r="J39" i="36"/>
  <c r="I39" i="36"/>
  <c r="H39" i="36"/>
  <c r="H38" i="36" s="1"/>
  <c r="H18" i="36" s="1"/>
  <c r="H17" i="36" s="1"/>
  <c r="F39" i="36"/>
  <c r="E39" i="36"/>
  <c r="D39" i="36"/>
  <c r="D38" i="36" s="1"/>
  <c r="D18" i="36" s="1"/>
  <c r="D17" i="36" s="1"/>
  <c r="AD38" i="36"/>
  <c r="Y38" i="36"/>
  <c r="V38" i="36"/>
  <c r="U38" i="36"/>
  <c r="R38" i="36"/>
  <c r="Q38" i="36"/>
  <c r="N38" i="36"/>
  <c r="M38" i="36"/>
  <c r="J38" i="36"/>
  <c r="I38" i="36"/>
  <c r="F38" i="36"/>
  <c r="E38" i="36"/>
  <c r="AN19" i="36"/>
  <c r="AL19" i="36"/>
  <c r="AK19" i="36"/>
  <c r="AJ19" i="36"/>
  <c r="AI19" i="36"/>
  <c r="AH19" i="36"/>
  <c r="AG19" i="36"/>
  <c r="AF19" i="36"/>
  <c r="AD19" i="36"/>
  <c r="AC19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Y18" i="36"/>
  <c r="Y17" i="36" s="1"/>
  <c r="V18" i="36"/>
  <c r="U18" i="36"/>
  <c r="U17" i="36" s="1"/>
  <c r="R18" i="36"/>
  <c r="Q18" i="36"/>
  <c r="Q17" i="36" s="1"/>
  <c r="N18" i="36"/>
  <c r="M18" i="36"/>
  <c r="M17" i="36" s="1"/>
  <c r="J18" i="36"/>
  <c r="I18" i="36"/>
  <c r="I17" i="36" s="1"/>
  <c r="F18" i="36"/>
  <c r="E18" i="36"/>
  <c r="E17" i="36" s="1"/>
  <c r="V17" i="36"/>
  <c r="R17" i="36"/>
  <c r="N17" i="36"/>
  <c r="J17" i="36"/>
  <c r="F17" i="36"/>
  <c r="AN75" i="35"/>
  <c r="AM75" i="35"/>
  <c r="AL75" i="35"/>
  <c r="AK75" i="35"/>
  <c r="AJ75" i="35"/>
  <c r="AI75" i="35"/>
  <c r="AH75" i="35"/>
  <c r="AM74" i="35"/>
  <c r="AM73" i="35" s="1"/>
  <c r="AL74" i="35"/>
  <c r="AL73" i="35" s="1"/>
  <c r="AI74" i="35"/>
  <c r="AI73" i="35" s="1"/>
  <c r="AH74" i="35"/>
  <c r="AH73" i="35" s="1"/>
  <c r="AG73" i="35"/>
  <c r="AF73" i="35"/>
  <c r="AD73" i="35"/>
  <c r="AC73" i="35"/>
  <c r="AB73" i="35"/>
  <c r="Z73" i="35"/>
  <c r="Y73" i="35"/>
  <c r="X73" i="35"/>
  <c r="W73" i="35"/>
  <c r="V73" i="35"/>
  <c r="U73" i="35"/>
  <c r="T73" i="35"/>
  <c r="S73" i="35"/>
  <c r="R73" i="35"/>
  <c r="Q73" i="35"/>
  <c r="P73" i="35"/>
  <c r="O73" i="35"/>
  <c r="N73" i="35"/>
  <c r="M73" i="35"/>
  <c r="L73" i="35"/>
  <c r="K73" i="35"/>
  <c r="J73" i="35"/>
  <c r="I73" i="35"/>
  <c r="H73" i="35"/>
  <c r="G73" i="35"/>
  <c r="F73" i="35"/>
  <c r="E73" i="35"/>
  <c r="D73" i="35"/>
  <c r="AN62" i="35"/>
  <c r="AL62" i="35"/>
  <c r="AK62" i="35"/>
  <c r="AJ62" i="35"/>
  <c r="AI62" i="35"/>
  <c r="AH62" i="35"/>
  <c r="AG62" i="35"/>
  <c r="AF62" i="35"/>
  <c r="AD62" i="35"/>
  <c r="AC62" i="35"/>
  <c r="AB62" i="35"/>
  <c r="AA62" i="35"/>
  <c r="Z62" i="35"/>
  <c r="Y62" i="35"/>
  <c r="X62" i="35"/>
  <c r="W62" i="35"/>
  <c r="V62" i="35"/>
  <c r="U62" i="35"/>
  <c r="T62" i="35"/>
  <c r="S62" i="35"/>
  <c r="R62" i="35"/>
  <c r="Q62" i="35"/>
  <c r="P62" i="35"/>
  <c r="O62" i="35"/>
  <c r="N62" i="35"/>
  <c r="M62" i="35"/>
  <c r="L62" i="35"/>
  <c r="K62" i="35"/>
  <c r="J62" i="35"/>
  <c r="I62" i="35"/>
  <c r="H62" i="35"/>
  <c r="G62" i="35"/>
  <c r="F62" i="35"/>
  <c r="E62" i="35"/>
  <c r="D62" i="35"/>
  <c r="AN58" i="35"/>
  <c r="AM58" i="35"/>
  <c r="AL58" i="35"/>
  <c r="AK58" i="35"/>
  <c r="AJ58" i="35"/>
  <c r="AI58" i="35"/>
  <c r="AH58" i="35"/>
  <c r="AN57" i="35"/>
  <c r="AM57" i="35"/>
  <c r="AL57" i="35"/>
  <c r="AK57" i="35"/>
  <c r="AJ57" i="35"/>
  <c r="AI57" i="35"/>
  <c r="AH57" i="35"/>
  <c r="AN56" i="35"/>
  <c r="AL56" i="35"/>
  <c r="AK56" i="35"/>
  <c r="AJ56" i="35"/>
  <c r="AJ53" i="35" s="1"/>
  <c r="AJ52" i="35" s="1"/>
  <c r="AN55" i="35"/>
  <c r="AM55" i="35"/>
  <c r="AL55" i="35"/>
  <c r="AK55" i="35"/>
  <c r="AJ55" i="35"/>
  <c r="AI55" i="35"/>
  <c r="AH55" i="35"/>
  <c r="AN54" i="35"/>
  <c r="AM54" i="35"/>
  <c r="AL54" i="35"/>
  <c r="AL53" i="35" s="1"/>
  <c r="AL52" i="35" s="1"/>
  <c r="AK54" i="35"/>
  <c r="AK53" i="35" s="1"/>
  <c r="AK52" i="35" s="1"/>
  <c r="AJ54" i="35"/>
  <c r="AI54" i="35"/>
  <c r="AH54" i="35"/>
  <c r="AN53" i="35"/>
  <c r="AN52" i="35" s="1"/>
  <c r="AG53" i="35"/>
  <c r="AD53" i="35"/>
  <c r="AD52" i="35" s="1"/>
  <c r="AC53" i="35"/>
  <c r="AC52" i="35" s="1"/>
  <c r="Z53" i="35"/>
  <c r="Z52" i="35" s="1"/>
  <c r="Y53" i="35"/>
  <c r="X53" i="35"/>
  <c r="W53" i="35"/>
  <c r="W52" i="35" s="1"/>
  <c r="V53" i="35"/>
  <c r="U53" i="35"/>
  <c r="T53" i="35"/>
  <c r="S53" i="35"/>
  <c r="S52" i="35" s="1"/>
  <c r="R53" i="35"/>
  <c r="Q53" i="35"/>
  <c r="P53" i="35"/>
  <c r="O53" i="35"/>
  <c r="O52" i="35" s="1"/>
  <c r="N53" i="35"/>
  <c r="M53" i="35"/>
  <c r="L53" i="35"/>
  <c r="K53" i="35"/>
  <c r="K52" i="35" s="1"/>
  <c r="J53" i="35"/>
  <c r="I53" i="35"/>
  <c r="H53" i="35"/>
  <c r="G53" i="35"/>
  <c r="G52" i="35" s="1"/>
  <c r="F53" i="35"/>
  <c r="E53" i="35"/>
  <c r="D53" i="35"/>
  <c r="AG52" i="35"/>
  <c r="Y52" i="35"/>
  <c r="X52" i="35"/>
  <c r="V52" i="35"/>
  <c r="U52" i="35"/>
  <c r="T52" i="35"/>
  <c r="R52" i="35"/>
  <c r="Q52" i="35"/>
  <c r="P52" i="35"/>
  <c r="N52" i="35"/>
  <c r="M52" i="35"/>
  <c r="L52" i="35"/>
  <c r="J52" i="35"/>
  <c r="I52" i="35"/>
  <c r="H52" i="35"/>
  <c r="F52" i="35"/>
  <c r="E52" i="35"/>
  <c r="D52" i="35"/>
  <c r="AN50" i="35"/>
  <c r="AM50" i="35"/>
  <c r="AL50" i="35"/>
  <c r="AK50" i="35"/>
  <c r="AJ50" i="35"/>
  <c r="AI50" i="35"/>
  <c r="AH50" i="35"/>
  <c r="AN49" i="35"/>
  <c r="AM49" i="35"/>
  <c r="AL49" i="35"/>
  <c r="AK49" i="35"/>
  <c r="AJ49" i="35"/>
  <c r="AI49" i="35"/>
  <c r="AH49" i="35"/>
  <c r="AM48" i="35"/>
  <c r="AL48" i="35"/>
  <c r="AK48" i="35"/>
  <c r="AI48" i="35"/>
  <c r="AH48" i="35"/>
  <c r="AG48" i="35"/>
  <c r="AG46" i="35" s="1"/>
  <c r="AG45" i="35" s="1"/>
  <c r="AG38" i="35" s="1"/>
  <c r="AG18" i="35" s="1"/>
  <c r="AG17" i="35" s="1"/>
  <c r="AN47" i="35"/>
  <c r="AL47" i="35"/>
  <c r="AK47" i="35"/>
  <c r="AK46" i="35" s="1"/>
  <c r="AK45" i="35" s="1"/>
  <c r="AJ47" i="35"/>
  <c r="AH47" i="35"/>
  <c r="AL46" i="35"/>
  <c r="AL45" i="35" s="1"/>
  <c r="AH46" i="35"/>
  <c r="AH45" i="35" s="1"/>
  <c r="AD46" i="35"/>
  <c r="AD45" i="35" s="1"/>
  <c r="AC46" i="35"/>
  <c r="AC45" i="35" s="1"/>
  <c r="AB46" i="35"/>
  <c r="AB45" i="35" s="1"/>
  <c r="Y46" i="35"/>
  <c r="X46" i="35"/>
  <c r="W46" i="35"/>
  <c r="V46" i="35"/>
  <c r="V45" i="35" s="1"/>
  <c r="U46" i="35"/>
  <c r="T46" i="35"/>
  <c r="S46" i="35"/>
  <c r="R46" i="35"/>
  <c r="R45" i="35" s="1"/>
  <c r="Q46" i="35"/>
  <c r="P46" i="35"/>
  <c r="O46" i="35"/>
  <c r="O45" i="35" s="1"/>
  <c r="N46" i="35"/>
  <c r="N45" i="35" s="1"/>
  <c r="M46" i="35"/>
  <c r="L46" i="35"/>
  <c r="K46" i="35"/>
  <c r="K45" i="35" s="1"/>
  <c r="J46" i="35"/>
  <c r="J45" i="35" s="1"/>
  <c r="I46" i="35"/>
  <c r="H46" i="35"/>
  <c r="G46" i="35"/>
  <c r="G45" i="35" s="1"/>
  <c r="F46" i="35"/>
  <c r="F45" i="35" s="1"/>
  <c r="E46" i="35"/>
  <c r="D46" i="35"/>
  <c r="Y45" i="35"/>
  <c r="X45" i="35"/>
  <c r="W45" i="35"/>
  <c r="U45" i="35"/>
  <c r="T45" i="35"/>
  <c r="S45" i="35"/>
  <c r="Q45" i="35"/>
  <c r="P45" i="35"/>
  <c r="M45" i="35"/>
  <c r="L45" i="35"/>
  <c r="I45" i="35"/>
  <c r="H45" i="35"/>
  <c r="E45" i="35"/>
  <c r="D45" i="35"/>
  <c r="AN43" i="35"/>
  <c r="AM43" i="35"/>
  <c r="AL43" i="35"/>
  <c r="AK43" i="35"/>
  <c r="AJ43" i="35"/>
  <c r="AI43" i="35"/>
  <c r="AH43" i="35"/>
  <c r="AN42" i="35"/>
  <c r="AN40" i="35" s="1"/>
  <c r="AN39" i="35" s="1"/>
  <c r="AM42" i="35"/>
  <c r="AL42" i="35"/>
  <c r="AK42" i="35"/>
  <c r="AK40" i="35" s="1"/>
  <c r="AK39" i="35" s="1"/>
  <c r="AJ42" i="35"/>
  <c r="AJ40" i="35" s="1"/>
  <c r="AJ39" i="35" s="1"/>
  <c r="AI42" i="35"/>
  <c r="AH42" i="35"/>
  <c r="AN41" i="35"/>
  <c r="AM41" i="35"/>
  <c r="AL41" i="35"/>
  <c r="AK41" i="35"/>
  <c r="AJ41" i="35"/>
  <c r="AI41" i="35"/>
  <c r="AH41" i="35"/>
  <c r="AG41" i="35"/>
  <c r="AM40" i="35"/>
  <c r="AL40" i="35"/>
  <c r="AL39" i="35" s="1"/>
  <c r="AI40" i="35"/>
  <c r="AH40" i="35"/>
  <c r="AH39" i="35" s="1"/>
  <c r="AG40" i="35"/>
  <c r="AF40" i="35"/>
  <c r="AE40" i="35"/>
  <c r="AD40" i="35"/>
  <c r="AD39" i="35" s="1"/>
  <c r="AC40" i="35"/>
  <c r="AB40" i="35"/>
  <c r="AA40" i="35"/>
  <c r="Z40" i="35"/>
  <c r="Z39" i="35" s="1"/>
  <c r="Y40" i="35"/>
  <c r="X40" i="35"/>
  <c r="W40" i="35"/>
  <c r="V40" i="35"/>
  <c r="V39" i="35" s="1"/>
  <c r="V38" i="35" s="1"/>
  <c r="V18" i="35" s="1"/>
  <c r="V17" i="35" s="1"/>
  <c r="U40" i="35"/>
  <c r="T40" i="35"/>
  <c r="S40" i="35"/>
  <c r="R40" i="35"/>
  <c r="R39" i="35" s="1"/>
  <c r="R38" i="35" s="1"/>
  <c r="R18" i="35" s="1"/>
  <c r="R17" i="35" s="1"/>
  <c r="Q40" i="35"/>
  <c r="P40" i="35"/>
  <c r="O40" i="35"/>
  <c r="N40" i="35"/>
  <c r="N39" i="35" s="1"/>
  <c r="N38" i="35" s="1"/>
  <c r="N18" i="35" s="1"/>
  <c r="N17" i="35" s="1"/>
  <c r="M40" i="35"/>
  <c r="L40" i="35"/>
  <c r="K40" i="35"/>
  <c r="J40" i="35"/>
  <c r="J39" i="35" s="1"/>
  <c r="J38" i="35" s="1"/>
  <c r="J18" i="35" s="1"/>
  <c r="J17" i="35" s="1"/>
  <c r="I40" i="35"/>
  <c r="H40" i="35"/>
  <c r="G40" i="35"/>
  <c r="F40" i="35"/>
  <c r="F39" i="35" s="1"/>
  <c r="F38" i="35" s="1"/>
  <c r="F18" i="35" s="1"/>
  <c r="F17" i="35" s="1"/>
  <c r="E40" i="35"/>
  <c r="D40" i="35"/>
  <c r="AM39" i="35"/>
  <c r="AI39" i="35"/>
  <c r="AG39" i="35"/>
  <c r="AF39" i="35"/>
  <c r="AE39" i="35"/>
  <c r="AC39" i="35"/>
  <c r="AB39" i="35"/>
  <c r="AA39" i="35"/>
  <c r="Y39" i="35"/>
  <c r="X39" i="35"/>
  <c r="W39" i="35"/>
  <c r="U39" i="35"/>
  <c r="T39" i="35"/>
  <c r="S39" i="35"/>
  <c r="S38" i="35" s="1"/>
  <c r="S18" i="35" s="1"/>
  <c r="S17" i="35" s="1"/>
  <c r="Q39" i="35"/>
  <c r="P39" i="35"/>
  <c r="O39" i="35"/>
  <c r="O38" i="35" s="1"/>
  <c r="O18" i="35" s="1"/>
  <c r="O17" i="35" s="1"/>
  <c r="M39" i="35"/>
  <c r="L39" i="35"/>
  <c r="K39" i="35"/>
  <c r="I39" i="35"/>
  <c r="H39" i="35"/>
  <c r="G39" i="35"/>
  <c r="E39" i="35"/>
  <c r="D39" i="35"/>
  <c r="Y38" i="35"/>
  <c r="X38" i="35"/>
  <c r="U38" i="35"/>
  <c r="T38" i="35"/>
  <c r="Q38" i="35"/>
  <c r="P38" i="35"/>
  <c r="M38" i="35"/>
  <c r="L38" i="35"/>
  <c r="I38" i="35"/>
  <c r="H38" i="35"/>
  <c r="E38" i="35"/>
  <c r="D38" i="35"/>
  <c r="AN19" i="35"/>
  <c r="AL19" i="35"/>
  <c r="AK19" i="35"/>
  <c r="AJ19" i="35"/>
  <c r="AI19" i="35"/>
  <c r="AH19" i="35"/>
  <c r="AG19" i="35"/>
  <c r="AF19" i="35"/>
  <c r="AD19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Y18" i="35"/>
  <c r="X18" i="35"/>
  <c r="X17" i="35" s="1"/>
  <c r="U18" i="35"/>
  <c r="T18" i="35"/>
  <c r="T17" i="35" s="1"/>
  <c r="Q18" i="35"/>
  <c r="P18" i="35"/>
  <c r="P17" i="35" s="1"/>
  <c r="M18" i="35"/>
  <c r="L18" i="35"/>
  <c r="L17" i="35" s="1"/>
  <c r="I18" i="35"/>
  <c r="H18" i="35"/>
  <c r="H17" i="35" s="1"/>
  <c r="E18" i="35"/>
  <c r="D18" i="35"/>
  <c r="D17" i="35" s="1"/>
  <c r="Y17" i="35"/>
  <c r="U17" i="35"/>
  <c r="Q17" i="35"/>
  <c r="M17" i="35"/>
  <c r="I17" i="35"/>
  <c r="E17" i="35"/>
  <c r="AM74" i="31"/>
  <c r="AM73" i="31" s="1"/>
  <c r="AN74" i="31"/>
  <c r="AM75" i="31"/>
  <c r="AN75" i="31"/>
  <c r="AN73" i="31" s="1"/>
  <c r="AD73" i="31"/>
  <c r="AE73" i="31"/>
  <c r="AF73" i="31"/>
  <c r="AG73" i="31"/>
  <c r="AH73" i="31"/>
  <c r="AI73" i="31"/>
  <c r="AJ73" i="31"/>
  <c r="AK73" i="31"/>
  <c r="AL73" i="31"/>
  <c r="AL54" i="31"/>
  <c r="AL53" i="31" s="1"/>
  <c r="AL52" i="31" s="1"/>
  <c r="AM54" i="31"/>
  <c r="AM53" i="31" s="1"/>
  <c r="AM52" i="31" s="1"/>
  <c r="AN54" i="31"/>
  <c r="AL55" i="31"/>
  <c r="AM55" i="31"/>
  <c r="AN55" i="31"/>
  <c r="AN53" i="31" s="1"/>
  <c r="AN52" i="31" s="1"/>
  <c r="AL56" i="31"/>
  <c r="AM56" i="31"/>
  <c r="AN56" i="31"/>
  <c r="AL57" i="31"/>
  <c r="AM57" i="31"/>
  <c r="AN57" i="31"/>
  <c r="AL58" i="31"/>
  <c r="AM58" i="31"/>
  <c r="AN58" i="31"/>
  <c r="AD53" i="31"/>
  <c r="AD52" i="31" s="1"/>
  <c r="AE53" i="31"/>
  <c r="AE52" i="31" s="1"/>
  <c r="AF53" i="31"/>
  <c r="AF52" i="31" s="1"/>
  <c r="AG53" i="31"/>
  <c r="AG52" i="31"/>
  <c r="AM47" i="31"/>
  <c r="AM46" i="31" s="1"/>
  <c r="AM45" i="31" s="1"/>
  <c r="AM48" i="31"/>
  <c r="AN48" i="31"/>
  <c r="AM49" i="31"/>
  <c r="AN49" i="31"/>
  <c r="AM50" i="31"/>
  <c r="AN50" i="31"/>
  <c r="AG46" i="31"/>
  <c r="AG45" i="31" s="1"/>
  <c r="AC46" i="31"/>
  <c r="AC45" i="31" s="1"/>
  <c r="AD46" i="31"/>
  <c r="AD45" i="31" s="1"/>
  <c r="AE39" i="31"/>
  <c r="AF39" i="31"/>
  <c r="AI39" i="31"/>
  <c r="AJ39" i="31"/>
  <c r="AM39" i="31"/>
  <c r="AN39" i="31"/>
  <c r="AD40" i="31"/>
  <c r="AD39" i="31" s="1"/>
  <c r="AE40" i="31"/>
  <c r="AF40" i="31"/>
  <c r="AG40" i="31"/>
  <c r="AG39" i="31" s="1"/>
  <c r="AH40" i="31"/>
  <c r="AH39" i="31" s="1"/>
  <c r="AI40" i="31"/>
  <c r="AJ40" i="31"/>
  <c r="AK40" i="31"/>
  <c r="AK39" i="31" s="1"/>
  <c r="AL40" i="31"/>
  <c r="AL39" i="31" s="1"/>
  <c r="AM40" i="31"/>
  <c r="AN40" i="31"/>
  <c r="AI41" i="31"/>
  <c r="AJ41" i="31"/>
  <c r="AK41" i="31"/>
  <c r="AL41" i="31"/>
  <c r="AM41" i="31"/>
  <c r="AN41" i="31"/>
  <c r="AI42" i="31"/>
  <c r="AJ42" i="31"/>
  <c r="AK42" i="31"/>
  <c r="AL42" i="31"/>
  <c r="AM42" i="31"/>
  <c r="AN42" i="31"/>
  <c r="AI43" i="31"/>
  <c r="AJ43" i="31"/>
  <c r="AK43" i="31"/>
  <c r="AL43" i="31"/>
  <c r="AM43" i="31"/>
  <c r="AN43" i="31"/>
  <c r="AM47" i="11"/>
  <c r="AM46" i="11" s="1"/>
  <c r="AM45" i="11" s="1"/>
  <c r="AM38" i="11" s="1"/>
  <c r="AM18" i="11" s="1"/>
  <c r="AM17" i="11" s="1"/>
  <c r="AM48" i="11"/>
  <c r="AM49" i="11"/>
  <c r="AM39" i="11"/>
  <c r="AN17" i="11"/>
  <c r="AN18" i="11"/>
  <c r="AM19" i="11"/>
  <c r="AN19" i="11"/>
  <c r="AI53" i="11"/>
  <c r="AI52" i="11" s="1"/>
  <c r="AL53" i="11"/>
  <c r="AL52" i="11" s="1"/>
  <c r="AM53" i="11"/>
  <c r="AM52" i="11" s="1"/>
  <c r="AI54" i="11"/>
  <c r="AJ54" i="11"/>
  <c r="AJ53" i="11" s="1"/>
  <c r="AJ52" i="11" s="1"/>
  <c r="AK54" i="11"/>
  <c r="AK53" i="11" s="1"/>
  <c r="AK52" i="11" s="1"/>
  <c r="AL54" i="11"/>
  <c r="AM54" i="11"/>
  <c r="AN54" i="11"/>
  <c r="AN53" i="11" s="1"/>
  <c r="AN52" i="11" s="1"/>
  <c r="AJ40" i="11"/>
  <c r="AK40" i="11"/>
  <c r="AL40" i="11"/>
  <c r="AM40" i="11"/>
  <c r="AN40" i="11"/>
  <c r="AJ41" i="11"/>
  <c r="AK41" i="11"/>
  <c r="AL41" i="11"/>
  <c r="AM41" i="11"/>
  <c r="AN41" i="11"/>
  <c r="AF45" i="11"/>
  <c r="AA45" i="11"/>
  <c r="AB45" i="11"/>
  <c r="AC45" i="11"/>
  <c r="AD45" i="11"/>
  <c r="AE45" i="11"/>
  <c r="AC53" i="11"/>
  <c r="AC52" i="11" s="1"/>
  <c r="AD53" i="11"/>
  <c r="AD52" i="11" s="1"/>
  <c r="AA54" i="11"/>
  <c r="AA53" i="11" s="1"/>
  <c r="AA52" i="11" s="1"/>
  <c r="AB54" i="11"/>
  <c r="AC54" i="11"/>
  <c r="AD54" i="11"/>
  <c r="AE54" i="11"/>
  <c r="AE53" i="11" s="1"/>
  <c r="AE52" i="11" s="1"/>
  <c r="AE38" i="11" s="1"/>
  <c r="AE18" i="11" s="1"/>
  <c r="AE17" i="11" s="1"/>
  <c r="AF54" i="11"/>
  <c r="AF53" i="11" s="1"/>
  <c r="AF52" i="11" s="1"/>
  <c r="Z54" i="11"/>
  <c r="AE40" i="11"/>
  <c r="AF40" i="11"/>
  <c r="AA41" i="11"/>
  <c r="AB41" i="11"/>
  <c r="AC41" i="11"/>
  <c r="AD41" i="11"/>
  <c r="AF41" i="11"/>
  <c r="Z41" i="11"/>
  <c r="AH41" i="11" s="1"/>
  <c r="AL75" i="31"/>
  <c r="AK75" i="31"/>
  <c r="AJ75" i="31"/>
  <c r="AI75" i="31"/>
  <c r="AH75" i="31"/>
  <c r="AL74" i="31"/>
  <c r="AK74" i="31"/>
  <c r="AJ74" i="31"/>
  <c r="AI74" i="31"/>
  <c r="AH74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AN62" i="31"/>
  <c r="AL62" i="31"/>
  <c r="AK62" i="31"/>
  <c r="AJ62" i="31"/>
  <c r="AI62" i="31"/>
  <c r="AH62" i="31"/>
  <c r="AG62" i="31"/>
  <c r="AF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AK58" i="31"/>
  <c r="AJ58" i="31"/>
  <c r="AI58" i="31"/>
  <c r="AH58" i="31"/>
  <c r="AK57" i="31"/>
  <c r="AJ57" i="31"/>
  <c r="AI57" i="31"/>
  <c r="AH57" i="31"/>
  <c r="AK56" i="31"/>
  <c r="AJ56" i="31"/>
  <c r="AI56" i="31"/>
  <c r="AH56" i="31"/>
  <c r="AK55" i="31"/>
  <c r="AK53" i="31" s="1"/>
  <c r="AK52" i="31" s="1"/>
  <c r="AI55" i="31"/>
  <c r="AI53" i="31" s="1"/>
  <c r="AI52" i="31" s="1"/>
  <c r="AH55" i="31"/>
  <c r="AH53" i="31" s="1"/>
  <c r="AH52" i="31" s="1"/>
  <c r="AK54" i="31"/>
  <c r="AJ54" i="31"/>
  <c r="AI54" i="31"/>
  <c r="AH54" i="31"/>
  <c r="AC53" i="31"/>
  <c r="AC52" i="31" s="1"/>
  <c r="AA53" i="31"/>
  <c r="Z53" i="31"/>
  <c r="Z52" i="31" s="1"/>
  <c r="Y53" i="31"/>
  <c r="Y52" i="31" s="1"/>
  <c r="X53" i="31"/>
  <c r="W53" i="31"/>
  <c r="V53" i="31"/>
  <c r="V52" i="31" s="1"/>
  <c r="U53" i="31"/>
  <c r="U52" i="31" s="1"/>
  <c r="T53" i="31"/>
  <c r="S53" i="31"/>
  <c r="R53" i="31"/>
  <c r="R52" i="31" s="1"/>
  <c r="Q53" i="31"/>
  <c r="Q52" i="31" s="1"/>
  <c r="P53" i="31"/>
  <c r="O53" i="31"/>
  <c r="N53" i="31"/>
  <c r="N52" i="31" s="1"/>
  <c r="M53" i="31"/>
  <c r="M52" i="31" s="1"/>
  <c r="L53" i="31"/>
  <c r="K53" i="31"/>
  <c r="J53" i="31"/>
  <c r="J52" i="31" s="1"/>
  <c r="I53" i="31"/>
  <c r="I52" i="31" s="1"/>
  <c r="H53" i="31"/>
  <c r="G53" i="31"/>
  <c r="F53" i="31"/>
  <c r="F52" i="31" s="1"/>
  <c r="E53" i="31"/>
  <c r="E52" i="31" s="1"/>
  <c r="D53" i="31"/>
  <c r="AA52" i="31"/>
  <c r="X52" i="31"/>
  <c r="W52" i="31"/>
  <c r="T52" i="31"/>
  <c r="S52" i="31"/>
  <c r="P52" i="31"/>
  <c r="O52" i="31"/>
  <c r="L52" i="31"/>
  <c r="K52" i="31"/>
  <c r="H52" i="31"/>
  <c r="G52" i="31"/>
  <c r="D52" i="31"/>
  <c r="AL50" i="31"/>
  <c r="AK50" i="31"/>
  <c r="AJ50" i="31"/>
  <c r="AI50" i="31"/>
  <c r="AH50" i="31"/>
  <c r="AL49" i="31"/>
  <c r="AK49" i="31"/>
  <c r="AJ49" i="31"/>
  <c r="AI49" i="31"/>
  <c r="AH49" i="31"/>
  <c r="AL48" i="31"/>
  <c r="AK48" i="31"/>
  <c r="AJ48" i="31"/>
  <c r="AI48" i="31"/>
  <c r="AH48" i="31"/>
  <c r="AG48" i="31"/>
  <c r="AL47" i="31"/>
  <c r="AL46" i="31" s="1"/>
  <c r="AL45" i="31" s="1"/>
  <c r="AK47" i="31"/>
  <c r="AK46" i="31" s="1"/>
  <c r="AK45" i="31" s="1"/>
  <c r="AJ47" i="31"/>
  <c r="AJ46" i="31" s="1"/>
  <c r="AJ45" i="31" s="1"/>
  <c r="AH47" i="31"/>
  <c r="AH46" i="31" s="1"/>
  <c r="AH45" i="31" s="1"/>
  <c r="Z46" i="31"/>
  <c r="Z45" i="31" s="1"/>
  <c r="Y46" i="31"/>
  <c r="Y45" i="31" s="1"/>
  <c r="X46" i="31"/>
  <c r="X45" i="31" s="1"/>
  <c r="W46" i="31"/>
  <c r="V46" i="31"/>
  <c r="U46" i="31"/>
  <c r="U45" i="31" s="1"/>
  <c r="T46" i="31"/>
  <c r="T45" i="31" s="1"/>
  <c r="S46" i="31"/>
  <c r="S45" i="31" s="1"/>
  <c r="R46" i="31"/>
  <c r="R45" i="31" s="1"/>
  <c r="Q46" i="31"/>
  <c r="Q45" i="31" s="1"/>
  <c r="P46" i="31"/>
  <c r="P45" i="31" s="1"/>
  <c r="O46" i="31"/>
  <c r="N46" i="31"/>
  <c r="M46" i="31"/>
  <c r="M45" i="31" s="1"/>
  <c r="L46" i="31"/>
  <c r="L45" i="31" s="1"/>
  <c r="K46" i="31"/>
  <c r="K45" i="31" s="1"/>
  <c r="J46" i="31"/>
  <c r="J45" i="31" s="1"/>
  <c r="I46" i="31"/>
  <c r="I45" i="31" s="1"/>
  <c r="H46" i="31"/>
  <c r="H45" i="31" s="1"/>
  <c r="G46" i="31"/>
  <c r="F46" i="31"/>
  <c r="E46" i="31"/>
  <c r="E45" i="31" s="1"/>
  <c r="D46" i="31"/>
  <c r="D45" i="31" s="1"/>
  <c r="W45" i="31"/>
  <c r="V45" i="31"/>
  <c r="O45" i="31"/>
  <c r="N45" i="31"/>
  <c r="G45" i="31"/>
  <c r="F45" i="31"/>
  <c r="AH43" i="31"/>
  <c r="AH42" i="31"/>
  <c r="AH41" i="31"/>
  <c r="AG41" i="31"/>
  <c r="AC40" i="31"/>
  <c r="AC39" i="31" s="1"/>
  <c r="AB40" i="31"/>
  <c r="AA40" i="31"/>
  <c r="AA39" i="31" s="1"/>
  <c r="Z40" i="31"/>
  <c r="Z39" i="31" s="1"/>
  <c r="Y40" i="31"/>
  <c r="Y39" i="31" s="1"/>
  <c r="X40" i="31"/>
  <c r="W40" i="31"/>
  <c r="W39" i="31" s="1"/>
  <c r="W38" i="31" s="1"/>
  <c r="W18" i="31" s="1"/>
  <c r="W17" i="31" s="1"/>
  <c r="V40" i="31"/>
  <c r="V39" i="31" s="1"/>
  <c r="U40" i="31"/>
  <c r="U39" i="31" s="1"/>
  <c r="T40" i="31"/>
  <c r="S40" i="31"/>
  <c r="S39" i="31" s="1"/>
  <c r="R40" i="31"/>
  <c r="R39" i="31" s="1"/>
  <c r="Q40" i="31"/>
  <c r="Q39" i="31" s="1"/>
  <c r="P40" i="31"/>
  <c r="O40" i="31"/>
  <c r="O39" i="31" s="1"/>
  <c r="O38" i="31" s="1"/>
  <c r="O18" i="31" s="1"/>
  <c r="O17" i="31" s="1"/>
  <c r="N40" i="31"/>
  <c r="N39" i="31" s="1"/>
  <c r="M40" i="31"/>
  <c r="M39" i="31" s="1"/>
  <c r="L40" i="31"/>
  <c r="K40" i="31"/>
  <c r="J40" i="31"/>
  <c r="J39" i="31" s="1"/>
  <c r="I40" i="31"/>
  <c r="I39" i="31" s="1"/>
  <c r="H40" i="31"/>
  <c r="G40" i="31"/>
  <c r="G39" i="31" s="1"/>
  <c r="G38" i="31" s="1"/>
  <c r="G18" i="31" s="1"/>
  <c r="G17" i="31" s="1"/>
  <c r="F40" i="31"/>
  <c r="F39" i="31" s="1"/>
  <c r="E40" i="31"/>
  <c r="E39" i="31" s="1"/>
  <c r="D40" i="31"/>
  <c r="AB39" i="31"/>
  <c r="X39" i="31"/>
  <c r="T39" i="31"/>
  <c r="T38" i="31" s="1"/>
  <c r="P39" i="31"/>
  <c r="L39" i="31"/>
  <c r="L38" i="31" s="1"/>
  <c r="K39" i="31"/>
  <c r="H39" i="31"/>
  <c r="D39" i="31"/>
  <c r="D38" i="31" s="1"/>
  <c r="D18" i="31" s="1"/>
  <c r="D17" i="31" s="1"/>
  <c r="AN19" i="31"/>
  <c r="AL19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AN75" i="11"/>
  <c r="AL75" i="11"/>
  <c r="AK75" i="11"/>
  <c r="AJ75" i="11"/>
  <c r="AI75" i="11"/>
  <c r="AH75" i="11"/>
  <c r="AN74" i="11"/>
  <c r="AL74" i="11"/>
  <c r="AL73" i="11" s="1"/>
  <c r="AK74" i="11"/>
  <c r="AJ74" i="11"/>
  <c r="AJ73" i="11" s="1"/>
  <c r="AI74" i="11"/>
  <c r="AH74" i="11"/>
  <c r="AH73" i="11" s="1"/>
  <c r="AH55" i="11"/>
  <c r="AI55" i="11"/>
  <c r="AJ55" i="11"/>
  <c r="AK55" i="11"/>
  <c r="AL55" i="11"/>
  <c r="AN55" i="11"/>
  <c r="AH56" i="11"/>
  <c r="AI56" i="11"/>
  <c r="AJ56" i="11"/>
  <c r="AK56" i="11"/>
  <c r="AL56" i="11"/>
  <c r="AN56" i="11"/>
  <c r="AH57" i="11"/>
  <c r="AI57" i="11"/>
  <c r="AJ57" i="11"/>
  <c r="AK57" i="11"/>
  <c r="AL57" i="11"/>
  <c r="AN57" i="11"/>
  <c r="AH58" i="11"/>
  <c r="AI58" i="11"/>
  <c r="AJ58" i="11"/>
  <c r="AK58" i="11"/>
  <c r="AL58" i="11"/>
  <c r="AN58" i="11"/>
  <c r="AH54" i="11"/>
  <c r="AH48" i="11"/>
  <c r="AH46" i="11" s="1"/>
  <c r="AH45" i="11" s="1"/>
  <c r="AI48" i="11"/>
  <c r="AJ48" i="11"/>
  <c r="AK48" i="11"/>
  <c r="AL48" i="11"/>
  <c r="AN48" i="11"/>
  <c r="AH49" i="11"/>
  <c r="AI49" i="11"/>
  <c r="AJ49" i="11"/>
  <c r="AJ46" i="11" s="1"/>
  <c r="AJ45" i="11" s="1"/>
  <c r="AK49" i="11"/>
  <c r="AK46" i="11" s="1"/>
  <c r="AK45" i="11" s="1"/>
  <c r="AL49" i="11"/>
  <c r="AN49" i="11"/>
  <c r="AH50" i="11"/>
  <c r="AI50" i="11"/>
  <c r="AJ50" i="11"/>
  <c r="AK50" i="11"/>
  <c r="AL50" i="11"/>
  <c r="AL46" i="11" s="1"/>
  <c r="AL45" i="11" s="1"/>
  <c r="AN50" i="11"/>
  <c r="AN47" i="11"/>
  <c r="AN46" i="11" s="1"/>
  <c r="AN45" i="11" s="1"/>
  <c r="AL47" i="11"/>
  <c r="AK47" i="11"/>
  <c r="AJ47" i="11"/>
  <c r="AI47" i="11"/>
  <c r="AI46" i="11" s="1"/>
  <c r="AI45" i="11" s="1"/>
  <c r="AH47" i="11"/>
  <c r="AH42" i="11"/>
  <c r="AI42" i="11"/>
  <c r="AJ42" i="11"/>
  <c r="AK42" i="11"/>
  <c r="AL42" i="11"/>
  <c r="AN42" i="11"/>
  <c r="AH43" i="11"/>
  <c r="AI43" i="11"/>
  <c r="AJ43" i="11"/>
  <c r="AK43" i="11"/>
  <c r="AL43" i="11"/>
  <c r="AN43" i="11"/>
  <c r="AI40" i="11"/>
  <c r="AI41" i="11"/>
  <c r="D18" i="11"/>
  <c r="D38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F73" i="11"/>
  <c r="AG73" i="11"/>
  <c r="AI73" i="11"/>
  <c r="AK73" i="11"/>
  <c r="AN73" i="11"/>
  <c r="D73" i="11"/>
  <c r="E53" i="11"/>
  <c r="E52" i="11" s="1"/>
  <c r="F53" i="11"/>
  <c r="F52" i="11" s="1"/>
  <c r="G53" i="11"/>
  <c r="G52" i="11" s="1"/>
  <c r="H53" i="11"/>
  <c r="H52" i="11" s="1"/>
  <c r="I53" i="11"/>
  <c r="I52" i="11" s="1"/>
  <c r="J53" i="11"/>
  <c r="J52" i="11" s="1"/>
  <c r="K53" i="11"/>
  <c r="K52" i="11" s="1"/>
  <c r="L53" i="11"/>
  <c r="L52" i="11" s="1"/>
  <c r="M53" i="11"/>
  <c r="M52" i="11" s="1"/>
  <c r="N53" i="11"/>
  <c r="N52" i="11" s="1"/>
  <c r="O53" i="11"/>
  <c r="O52" i="11" s="1"/>
  <c r="P53" i="11"/>
  <c r="P52" i="11" s="1"/>
  <c r="Q53" i="11"/>
  <c r="Q52" i="11" s="1"/>
  <c r="R53" i="11"/>
  <c r="R52" i="11" s="1"/>
  <c r="S53" i="11"/>
  <c r="S52" i="11" s="1"/>
  <c r="T53" i="11"/>
  <c r="T52" i="11" s="1"/>
  <c r="U53" i="11"/>
  <c r="U52" i="11" s="1"/>
  <c r="V53" i="11"/>
  <c r="V52" i="11" s="1"/>
  <c r="W53" i="11"/>
  <c r="W52" i="11" s="1"/>
  <c r="X53" i="11"/>
  <c r="X52" i="11" s="1"/>
  <c r="Y53" i="11"/>
  <c r="Y52" i="11" s="1"/>
  <c r="Z53" i="11"/>
  <c r="Z52" i="11" s="1"/>
  <c r="AG53" i="11"/>
  <c r="AG52" i="11" s="1"/>
  <c r="D52" i="11"/>
  <c r="D53" i="11"/>
  <c r="F45" i="11"/>
  <c r="G45" i="11"/>
  <c r="J45" i="11"/>
  <c r="K45" i="11"/>
  <c r="N45" i="11"/>
  <c r="O45" i="11"/>
  <c r="R45" i="11"/>
  <c r="S45" i="11"/>
  <c r="V45" i="11"/>
  <c r="W45" i="11"/>
  <c r="Z45" i="11"/>
  <c r="E46" i="11"/>
  <c r="E45" i="11" s="1"/>
  <c r="F46" i="11"/>
  <c r="G46" i="11"/>
  <c r="H46" i="11"/>
  <c r="H45" i="11" s="1"/>
  <c r="I46" i="11"/>
  <c r="I45" i="11" s="1"/>
  <c r="J46" i="11"/>
  <c r="K46" i="11"/>
  <c r="L46" i="11"/>
  <c r="L45" i="11" s="1"/>
  <c r="M46" i="11"/>
  <c r="M45" i="11" s="1"/>
  <c r="N46" i="11"/>
  <c r="O46" i="11"/>
  <c r="P46" i="11"/>
  <c r="P45" i="11" s="1"/>
  <c r="Q46" i="11"/>
  <c r="Q45" i="11" s="1"/>
  <c r="R46" i="11"/>
  <c r="S46" i="11"/>
  <c r="T46" i="11"/>
  <c r="T45" i="11" s="1"/>
  <c r="U46" i="11"/>
  <c r="U45" i="11" s="1"/>
  <c r="V46" i="11"/>
  <c r="W46" i="11"/>
  <c r="X46" i="11"/>
  <c r="X45" i="11" s="1"/>
  <c r="Y46" i="11"/>
  <c r="Y45" i="11" s="1"/>
  <c r="Z46" i="11"/>
  <c r="AA46" i="11"/>
  <c r="AB46" i="11"/>
  <c r="AC46" i="11"/>
  <c r="AD46" i="11"/>
  <c r="AF46" i="11"/>
  <c r="AG46" i="11"/>
  <c r="AG45" i="11" s="1"/>
  <c r="D45" i="11"/>
  <c r="D46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G40" i="11"/>
  <c r="D40" i="11"/>
  <c r="C90" i="10"/>
  <c r="E18" i="10"/>
  <c r="E17" i="10" s="1"/>
  <c r="F18" i="10"/>
  <c r="F17" i="10" s="1"/>
  <c r="G18" i="10"/>
  <c r="G17" i="10" s="1"/>
  <c r="H18" i="10"/>
  <c r="H17" i="10" s="1"/>
  <c r="I18" i="10"/>
  <c r="I17" i="10" s="1"/>
  <c r="J18" i="10"/>
  <c r="J17" i="10" s="1"/>
  <c r="K18" i="10"/>
  <c r="K17" i="10" s="1"/>
  <c r="L18" i="10"/>
  <c r="L17" i="10" s="1"/>
  <c r="M18" i="10"/>
  <c r="M17" i="10" s="1"/>
  <c r="N18" i="10"/>
  <c r="N17" i="10" s="1"/>
  <c r="O18" i="10"/>
  <c r="O17" i="10" s="1"/>
  <c r="P18" i="10"/>
  <c r="P17" i="10" s="1"/>
  <c r="Q18" i="10"/>
  <c r="Q17" i="10" s="1"/>
  <c r="R18" i="10"/>
  <c r="R17" i="10" s="1"/>
  <c r="S18" i="10"/>
  <c r="S17" i="10" s="1"/>
  <c r="T18" i="10"/>
  <c r="T17" i="10" s="1"/>
  <c r="U18" i="10"/>
  <c r="U17" i="10" s="1"/>
  <c r="V18" i="10"/>
  <c r="V17" i="10" s="1"/>
  <c r="W18" i="10"/>
  <c r="W17" i="10" s="1"/>
  <c r="X18" i="10"/>
  <c r="X17" i="10" s="1"/>
  <c r="Y18" i="10"/>
  <c r="Y17" i="10" s="1"/>
  <c r="Z18" i="10"/>
  <c r="Z17" i="10" s="1"/>
  <c r="AA18" i="10"/>
  <c r="AA17" i="10" s="1"/>
  <c r="AB18" i="10"/>
  <c r="AB17" i="10" s="1"/>
  <c r="AC18" i="10"/>
  <c r="AC17" i="10" s="1"/>
  <c r="AD18" i="10"/>
  <c r="AD17" i="10" s="1"/>
  <c r="AE18" i="10"/>
  <c r="AE17" i="10" s="1"/>
  <c r="AF18" i="10"/>
  <c r="AF17" i="10" s="1"/>
  <c r="AG18" i="10"/>
  <c r="AG17" i="10" s="1"/>
  <c r="AH18" i="10"/>
  <c r="AH17" i="10" s="1"/>
  <c r="AI18" i="10"/>
  <c r="AI17" i="10" s="1"/>
  <c r="AJ18" i="10"/>
  <c r="AJ17" i="10" s="1"/>
  <c r="AK18" i="10"/>
  <c r="AK17" i="10" s="1"/>
  <c r="AL18" i="10"/>
  <c r="AL17" i="10" s="1"/>
  <c r="AM18" i="10"/>
  <c r="AM17" i="10" s="1"/>
  <c r="AN18" i="10"/>
  <c r="AN17" i="10" s="1"/>
  <c r="AO18" i="10"/>
  <c r="AO17" i="10" s="1"/>
  <c r="AP18" i="10"/>
  <c r="AP17" i="10" s="1"/>
  <c r="AQ18" i="10"/>
  <c r="AQ17" i="10" s="1"/>
  <c r="AR18" i="10"/>
  <c r="AR17" i="10" s="1"/>
  <c r="AS18" i="10"/>
  <c r="AS17" i="10" s="1"/>
  <c r="AT18" i="10"/>
  <c r="AT17" i="10" s="1"/>
  <c r="AU18" i="10"/>
  <c r="AU17" i="10" s="1"/>
  <c r="AV18" i="10"/>
  <c r="AV17" i="10" s="1"/>
  <c r="AW18" i="10"/>
  <c r="AW17" i="10" s="1"/>
  <c r="AX18" i="10"/>
  <c r="AX17" i="10" s="1"/>
  <c r="AY18" i="10"/>
  <c r="AY17" i="10" s="1"/>
  <c r="AZ18" i="10"/>
  <c r="AZ17" i="10" s="1"/>
  <c r="BA18" i="10"/>
  <c r="BA17" i="10" s="1"/>
  <c r="BB18" i="10"/>
  <c r="BB17" i="10" s="1"/>
  <c r="BC18" i="10"/>
  <c r="BC17" i="10" s="1"/>
  <c r="BD18" i="10"/>
  <c r="BD17" i="10" s="1"/>
  <c r="BE18" i="10"/>
  <c r="BE17" i="10" s="1"/>
  <c r="BF18" i="10"/>
  <c r="BF17" i="10" s="1"/>
  <c r="BG18" i="10"/>
  <c r="BG17" i="10" s="1"/>
  <c r="BH18" i="10"/>
  <c r="BH17" i="10" s="1"/>
  <c r="BI18" i="10"/>
  <c r="BI17" i="10" s="1"/>
  <c r="BJ18" i="10"/>
  <c r="BJ17" i="10" s="1"/>
  <c r="BK18" i="10"/>
  <c r="BK17" i="10" s="1"/>
  <c r="BL18" i="10"/>
  <c r="BL17" i="10" s="1"/>
  <c r="BM18" i="10"/>
  <c r="BM17" i="10" s="1"/>
  <c r="BN18" i="10"/>
  <c r="BN17" i="10" s="1"/>
  <c r="BO18" i="10"/>
  <c r="BO17" i="10" s="1"/>
  <c r="BP18" i="10"/>
  <c r="BP17" i="10" s="1"/>
  <c r="BQ18" i="10"/>
  <c r="BQ17" i="10" s="1"/>
  <c r="BR18" i="10"/>
  <c r="BR17" i="10" s="1"/>
  <c r="BS18" i="10"/>
  <c r="BS17" i="10" s="1"/>
  <c r="BT18" i="10"/>
  <c r="BT17" i="10" s="1"/>
  <c r="BU18" i="10"/>
  <c r="BU17" i="10" s="1"/>
  <c r="BV18" i="10"/>
  <c r="BV17" i="10" s="1"/>
  <c r="BW18" i="10"/>
  <c r="BW17" i="10" s="1"/>
  <c r="BX18" i="10"/>
  <c r="BX17" i="10" s="1"/>
  <c r="BY18" i="10"/>
  <c r="BY17" i="10" s="1"/>
  <c r="BZ18" i="10"/>
  <c r="BZ17" i="10" s="1"/>
  <c r="CA18" i="10"/>
  <c r="CA17" i="10" s="1"/>
  <c r="CB18" i="10"/>
  <c r="CB17" i="10" s="1"/>
  <c r="CC18" i="10"/>
  <c r="CC17" i="10" s="1"/>
  <c r="CD18" i="10"/>
  <c r="CD17" i="10" s="1"/>
  <c r="CE18" i="10"/>
  <c r="CE17" i="10" s="1"/>
  <c r="CF18" i="10"/>
  <c r="CF17" i="10" s="1"/>
  <c r="CG18" i="10"/>
  <c r="CG17" i="10" s="1"/>
  <c r="CH18" i="10"/>
  <c r="CH17" i="10" s="1"/>
  <c r="CI18" i="10"/>
  <c r="CI17" i="10" s="1"/>
  <c r="CJ18" i="10"/>
  <c r="CJ17" i="10" s="1"/>
  <c r="CK18" i="10"/>
  <c r="CK17" i="10" s="1"/>
  <c r="CL18" i="10"/>
  <c r="CL17" i="10" s="1"/>
  <c r="CM18" i="10"/>
  <c r="CM17" i="10" s="1"/>
  <c r="CN18" i="10"/>
  <c r="CN17" i="10" s="1"/>
  <c r="CO18" i="10"/>
  <c r="CO17" i="10" s="1"/>
  <c r="CP18" i="10"/>
  <c r="CP17" i="10" s="1"/>
  <c r="CQ18" i="10"/>
  <c r="CQ17" i="10" s="1"/>
  <c r="CR18" i="10"/>
  <c r="CR17" i="10" s="1"/>
  <c r="CS18" i="10"/>
  <c r="CS17" i="10" s="1"/>
  <c r="CT18" i="10"/>
  <c r="CT17" i="10" s="1"/>
  <c r="CU18" i="10"/>
  <c r="CU17" i="10" s="1"/>
  <c r="CV18" i="10"/>
  <c r="CV17" i="10" s="1"/>
  <c r="CW18" i="10"/>
  <c r="CW17" i="10" s="1"/>
  <c r="CX18" i="10"/>
  <c r="CX17" i="10" s="1"/>
  <c r="CY18" i="10"/>
  <c r="CY17" i="10" s="1"/>
  <c r="CZ18" i="10"/>
  <c r="CZ17" i="10" s="1"/>
  <c r="DA18" i="10"/>
  <c r="DA17" i="10" s="1"/>
  <c r="DB18" i="10"/>
  <c r="DB17" i="10" s="1"/>
  <c r="DC18" i="10"/>
  <c r="DC17" i="10" s="1"/>
  <c r="DD18" i="10"/>
  <c r="DD17" i="10" s="1"/>
  <c r="DE18" i="10"/>
  <c r="DE17" i="10" s="1"/>
  <c r="DF18" i="10"/>
  <c r="DF17" i="10" s="1"/>
  <c r="DG18" i="10"/>
  <c r="DG17" i="10" s="1"/>
  <c r="DH18" i="10"/>
  <c r="DH17" i="10" s="1"/>
  <c r="DI18" i="10"/>
  <c r="DI17" i="10" s="1"/>
  <c r="DJ18" i="10"/>
  <c r="DJ17" i="10" s="1"/>
  <c r="DK18" i="10"/>
  <c r="DK17" i="10" s="1"/>
  <c r="DL18" i="10"/>
  <c r="DL17" i="10" s="1"/>
  <c r="D17" i="10"/>
  <c r="D18" i="10"/>
  <c r="BN39" i="10"/>
  <c r="BN38" i="10" s="1"/>
  <c r="BV39" i="10"/>
  <c r="BV38" i="10" s="1"/>
  <c r="CD39" i="10"/>
  <c r="CD38" i="10" s="1"/>
  <c r="CL39" i="10"/>
  <c r="CL38" i="10" s="1"/>
  <c r="CT39" i="10"/>
  <c r="CT38" i="10" s="1"/>
  <c r="DB39" i="10"/>
  <c r="DB38" i="10" s="1"/>
  <c r="DJ39" i="10"/>
  <c r="DJ38" i="10" s="1"/>
  <c r="E40" i="10"/>
  <c r="E39" i="10" s="1"/>
  <c r="E38" i="10" s="1"/>
  <c r="F40" i="10"/>
  <c r="F39" i="10" s="1"/>
  <c r="F38" i="10" s="1"/>
  <c r="G40" i="10"/>
  <c r="G39" i="10" s="1"/>
  <c r="G38" i="10" s="1"/>
  <c r="H40" i="10"/>
  <c r="H39" i="10" s="1"/>
  <c r="H38" i="10" s="1"/>
  <c r="I40" i="10"/>
  <c r="I39" i="10" s="1"/>
  <c r="I38" i="10" s="1"/>
  <c r="J40" i="10"/>
  <c r="J39" i="10" s="1"/>
  <c r="J38" i="10" s="1"/>
  <c r="K40" i="10"/>
  <c r="K39" i="10" s="1"/>
  <c r="K38" i="10" s="1"/>
  <c r="L40" i="10"/>
  <c r="L39" i="10" s="1"/>
  <c r="L38" i="10" s="1"/>
  <c r="M40" i="10"/>
  <c r="M39" i="10" s="1"/>
  <c r="M38" i="10" s="1"/>
  <c r="N40" i="10"/>
  <c r="N39" i="10" s="1"/>
  <c r="N38" i="10" s="1"/>
  <c r="O40" i="10"/>
  <c r="O39" i="10" s="1"/>
  <c r="O38" i="10" s="1"/>
  <c r="P40" i="10"/>
  <c r="P39" i="10" s="1"/>
  <c r="P38" i="10" s="1"/>
  <c r="Q40" i="10"/>
  <c r="Q39" i="10" s="1"/>
  <c r="Q38" i="10" s="1"/>
  <c r="R40" i="10"/>
  <c r="R39" i="10" s="1"/>
  <c r="R38" i="10" s="1"/>
  <c r="S40" i="10"/>
  <c r="S39" i="10" s="1"/>
  <c r="S38" i="10" s="1"/>
  <c r="T40" i="10"/>
  <c r="T39" i="10" s="1"/>
  <c r="T38" i="10" s="1"/>
  <c r="U40" i="10"/>
  <c r="U39" i="10" s="1"/>
  <c r="U38" i="10" s="1"/>
  <c r="V40" i="10"/>
  <c r="V39" i="10" s="1"/>
  <c r="V38" i="10" s="1"/>
  <c r="W40" i="10"/>
  <c r="W39" i="10" s="1"/>
  <c r="W38" i="10" s="1"/>
  <c r="X40" i="10"/>
  <c r="X39" i="10" s="1"/>
  <c r="X38" i="10" s="1"/>
  <c r="Y40" i="10"/>
  <c r="Y39" i="10" s="1"/>
  <c r="Y38" i="10" s="1"/>
  <c r="Z40" i="10"/>
  <c r="Z39" i="10" s="1"/>
  <c r="Z38" i="10" s="1"/>
  <c r="AA40" i="10"/>
  <c r="AA39" i="10" s="1"/>
  <c r="AA38" i="10" s="1"/>
  <c r="AB40" i="10"/>
  <c r="AB39" i="10" s="1"/>
  <c r="AB38" i="10" s="1"/>
  <c r="AC40" i="10"/>
  <c r="AC39" i="10" s="1"/>
  <c r="AC38" i="10" s="1"/>
  <c r="AD40" i="10"/>
  <c r="AD39" i="10" s="1"/>
  <c r="AD38" i="10" s="1"/>
  <c r="AE40" i="10"/>
  <c r="AE39" i="10" s="1"/>
  <c r="AE38" i="10" s="1"/>
  <c r="AF40" i="10"/>
  <c r="AF39" i="10" s="1"/>
  <c r="AF38" i="10" s="1"/>
  <c r="AG40" i="10"/>
  <c r="AG39" i="10" s="1"/>
  <c r="AG38" i="10" s="1"/>
  <c r="AH40" i="10"/>
  <c r="AH39" i="10" s="1"/>
  <c r="AH38" i="10" s="1"/>
  <c r="AI40" i="10"/>
  <c r="AI39" i="10" s="1"/>
  <c r="AI38" i="10" s="1"/>
  <c r="AJ40" i="10"/>
  <c r="AJ39" i="10" s="1"/>
  <c r="AJ38" i="10" s="1"/>
  <c r="AK40" i="10"/>
  <c r="AK39" i="10" s="1"/>
  <c r="AK38" i="10" s="1"/>
  <c r="AL40" i="10"/>
  <c r="AL39" i="10" s="1"/>
  <c r="AL38" i="10" s="1"/>
  <c r="AM40" i="10"/>
  <c r="AM39" i="10" s="1"/>
  <c r="AM38" i="10" s="1"/>
  <c r="AN40" i="10"/>
  <c r="AN39" i="10" s="1"/>
  <c r="AN38" i="10" s="1"/>
  <c r="AO40" i="10"/>
  <c r="AO39" i="10" s="1"/>
  <c r="AO38" i="10" s="1"/>
  <c r="AP40" i="10"/>
  <c r="AP39" i="10" s="1"/>
  <c r="AP38" i="10" s="1"/>
  <c r="AQ40" i="10"/>
  <c r="AQ39" i="10" s="1"/>
  <c r="AQ38" i="10" s="1"/>
  <c r="AR40" i="10"/>
  <c r="AR39" i="10" s="1"/>
  <c r="AR38" i="10" s="1"/>
  <c r="AS40" i="10"/>
  <c r="AS39" i="10" s="1"/>
  <c r="AS38" i="10" s="1"/>
  <c r="AT40" i="10"/>
  <c r="AT39" i="10" s="1"/>
  <c r="AT38" i="10" s="1"/>
  <c r="AU40" i="10"/>
  <c r="AU39" i="10" s="1"/>
  <c r="AU38" i="10" s="1"/>
  <c r="AV40" i="10"/>
  <c r="AV39" i="10" s="1"/>
  <c r="AV38" i="10" s="1"/>
  <c r="AW40" i="10"/>
  <c r="AW39" i="10" s="1"/>
  <c r="AW38" i="10" s="1"/>
  <c r="AX40" i="10"/>
  <c r="AX39" i="10" s="1"/>
  <c r="AX38" i="10" s="1"/>
  <c r="AY40" i="10"/>
  <c r="AY39" i="10" s="1"/>
  <c r="AY38" i="10" s="1"/>
  <c r="AZ40" i="10"/>
  <c r="AZ39" i="10" s="1"/>
  <c r="AZ38" i="10" s="1"/>
  <c r="BA40" i="10"/>
  <c r="BA39" i="10" s="1"/>
  <c r="BA38" i="10" s="1"/>
  <c r="BB40" i="10"/>
  <c r="BB39" i="10" s="1"/>
  <c r="BB38" i="10" s="1"/>
  <c r="BC40" i="10"/>
  <c r="BC39" i="10" s="1"/>
  <c r="BC38" i="10" s="1"/>
  <c r="BD40" i="10"/>
  <c r="BD39" i="10" s="1"/>
  <c r="BD38" i="10" s="1"/>
  <c r="BE40" i="10"/>
  <c r="BE39" i="10" s="1"/>
  <c r="BE38" i="10" s="1"/>
  <c r="BF40" i="10"/>
  <c r="BF39" i="10" s="1"/>
  <c r="BF38" i="10" s="1"/>
  <c r="BG40" i="10"/>
  <c r="BG39" i="10" s="1"/>
  <c r="BG38" i="10" s="1"/>
  <c r="BH40" i="10"/>
  <c r="BH39" i="10" s="1"/>
  <c r="BH38" i="10" s="1"/>
  <c r="BI40" i="10"/>
  <c r="BI39" i="10" s="1"/>
  <c r="BI38" i="10" s="1"/>
  <c r="BJ40" i="10"/>
  <c r="BJ39" i="10" s="1"/>
  <c r="BJ38" i="10" s="1"/>
  <c r="BK40" i="10"/>
  <c r="BK39" i="10" s="1"/>
  <c r="BK38" i="10" s="1"/>
  <c r="BL40" i="10"/>
  <c r="BL39" i="10" s="1"/>
  <c r="BL38" i="10" s="1"/>
  <c r="BM40" i="10"/>
  <c r="BM39" i="10" s="1"/>
  <c r="BM38" i="10" s="1"/>
  <c r="BN40" i="10"/>
  <c r="BO40" i="10"/>
  <c r="BO39" i="10" s="1"/>
  <c r="BO38" i="10" s="1"/>
  <c r="BP40" i="10"/>
  <c r="BP39" i="10" s="1"/>
  <c r="BP38" i="10" s="1"/>
  <c r="BQ40" i="10"/>
  <c r="BQ39" i="10" s="1"/>
  <c r="BQ38" i="10" s="1"/>
  <c r="BR40" i="10"/>
  <c r="BR39" i="10" s="1"/>
  <c r="BR38" i="10" s="1"/>
  <c r="BS40" i="10"/>
  <c r="BS39" i="10" s="1"/>
  <c r="BS38" i="10" s="1"/>
  <c r="BT40" i="10"/>
  <c r="BT39" i="10" s="1"/>
  <c r="BT38" i="10" s="1"/>
  <c r="BU40" i="10"/>
  <c r="BU39" i="10" s="1"/>
  <c r="BU38" i="10" s="1"/>
  <c r="BV40" i="10"/>
  <c r="BW40" i="10"/>
  <c r="BW39" i="10" s="1"/>
  <c r="BW38" i="10" s="1"/>
  <c r="BX40" i="10"/>
  <c r="BX39" i="10" s="1"/>
  <c r="BX38" i="10" s="1"/>
  <c r="BY40" i="10"/>
  <c r="BY39" i="10" s="1"/>
  <c r="BY38" i="10" s="1"/>
  <c r="BZ40" i="10"/>
  <c r="BZ39" i="10" s="1"/>
  <c r="BZ38" i="10" s="1"/>
  <c r="CA40" i="10"/>
  <c r="CA39" i="10" s="1"/>
  <c r="CA38" i="10" s="1"/>
  <c r="CB40" i="10"/>
  <c r="CB39" i="10" s="1"/>
  <c r="CB38" i="10" s="1"/>
  <c r="CC40" i="10"/>
  <c r="CC39" i="10" s="1"/>
  <c r="CC38" i="10" s="1"/>
  <c r="CD40" i="10"/>
  <c r="CE40" i="10"/>
  <c r="CE39" i="10" s="1"/>
  <c r="CE38" i="10" s="1"/>
  <c r="CF40" i="10"/>
  <c r="CF39" i="10" s="1"/>
  <c r="CF38" i="10" s="1"/>
  <c r="CG40" i="10"/>
  <c r="CG39" i="10" s="1"/>
  <c r="CG38" i="10" s="1"/>
  <c r="CH40" i="10"/>
  <c r="CH39" i="10" s="1"/>
  <c r="CH38" i="10" s="1"/>
  <c r="CI40" i="10"/>
  <c r="CI39" i="10" s="1"/>
  <c r="CI38" i="10" s="1"/>
  <c r="CJ40" i="10"/>
  <c r="CJ39" i="10" s="1"/>
  <c r="CJ38" i="10" s="1"/>
  <c r="CK40" i="10"/>
  <c r="CK39" i="10" s="1"/>
  <c r="CK38" i="10" s="1"/>
  <c r="CL40" i="10"/>
  <c r="CM40" i="10"/>
  <c r="CM39" i="10" s="1"/>
  <c r="CM38" i="10" s="1"/>
  <c r="CN40" i="10"/>
  <c r="CN39" i="10" s="1"/>
  <c r="CN38" i="10" s="1"/>
  <c r="CO40" i="10"/>
  <c r="CO39" i="10" s="1"/>
  <c r="CO38" i="10" s="1"/>
  <c r="CP40" i="10"/>
  <c r="CP39" i="10" s="1"/>
  <c r="CP38" i="10" s="1"/>
  <c r="CQ40" i="10"/>
  <c r="CQ39" i="10" s="1"/>
  <c r="CQ38" i="10" s="1"/>
  <c r="CR40" i="10"/>
  <c r="CR39" i="10" s="1"/>
  <c r="CR38" i="10" s="1"/>
  <c r="CS40" i="10"/>
  <c r="CS39" i="10" s="1"/>
  <c r="CS38" i="10" s="1"/>
  <c r="CT40" i="10"/>
  <c r="CU40" i="10"/>
  <c r="CU39" i="10" s="1"/>
  <c r="CU38" i="10" s="1"/>
  <c r="CV40" i="10"/>
  <c r="CV39" i="10" s="1"/>
  <c r="CV38" i="10" s="1"/>
  <c r="CW40" i="10"/>
  <c r="CW39" i="10" s="1"/>
  <c r="CW38" i="10" s="1"/>
  <c r="CX40" i="10"/>
  <c r="CX39" i="10" s="1"/>
  <c r="CX38" i="10" s="1"/>
  <c r="CY40" i="10"/>
  <c r="CY39" i="10" s="1"/>
  <c r="CY38" i="10" s="1"/>
  <c r="CZ40" i="10"/>
  <c r="CZ39" i="10" s="1"/>
  <c r="CZ38" i="10" s="1"/>
  <c r="DA40" i="10"/>
  <c r="DA39" i="10" s="1"/>
  <c r="DA38" i="10" s="1"/>
  <c r="DB40" i="10"/>
  <c r="DC40" i="10"/>
  <c r="DC39" i="10" s="1"/>
  <c r="DC38" i="10" s="1"/>
  <c r="DD40" i="10"/>
  <c r="DD39" i="10" s="1"/>
  <c r="DD38" i="10" s="1"/>
  <c r="DE40" i="10"/>
  <c r="DE39" i="10" s="1"/>
  <c r="DE38" i="10" s="1"/>
  <c r="DF40" i="10"/>
  <c r="DF39" i="10" s="1"/>
  <c r="DF38" i="10" s="1"/>
  <c r="DG40" i="10"/>
  <c r="DG39" i="10" s="1"/>
  <c r="DG38" i="10" s="1"/>
  <c r="DH40" i="10"/>
  <c r="DH39" i="10" s="1"/>
  <c r="DH38" i="10" s="1"/>
  <c r="DI40" i="10"/>
  <c r="DI39" i="10" s="1"/>
  <c r="DI38" i="10" s="1"/>
  <c r="DJ40" i="10"/>
  <c r="DK40" i="10"/>
  <c r="DK39" i="10" s="1"/>
  <c r="DK38" i="10" s="1"/>
  <c r="DL40" i="10"/>
  <c r="DL39" i="10" s="1"/>
  <c r="DL38" i="10" s="1"/>
  <c r="D38" i="10"/>
  <c r="D39" i="10"/>
  <c r="D40" i="10"/>
  <c r="E46" i="10"/>
  <c r="E45" i="10" s="1"/>
  <c r="F46" i="10"/>
  <c r="F45" i="10" s="1"/>
  <c r="G46" i="10"/>
  <c r="G45" i="10" s="1"/>
  <c r="H46" i="10"/>
  <c r="H45" i="10" s="1"/>
  <c r="I46" i="10"/>
  <c r="I45" i="10" s="1"/>
  <c r="J46" i="10"/>
  <c r="J45" i="10" s="1"/>
  <c r="K46" i="10"/>
  <c r="K45" i="10" s="1"/>
  <c r="L46" i="10"/>
  <c r="L45" i="10" s="1"/>
  <c r="M46" i="10"/>
  <c r="M45" i="10" s="1"/>
  <c r="N46" i="10"/>
  <c r="N45" i="10" s="1"/>
  <c r="O46" i="10"/>
  <c r="O45" i="10" s="1"/>
  <c r="P46" i="10"/>
  <c r="P45" i="10" s="1"/>
  <c r="Q46" i="10"/>
  <c r="Q45" i="10" s="1"/>
  <c r="R46" i="10"/>
  <c r="R45" i="10" s="1"/>
  <c r="S46" i="10"/>
  <c r="S45" i="10" s="1"/>
  <c r="T46" i="10"/>
  <c r="T45" i="10" s="1"/>
  <c r="U46" i="10"/>
  <c r="U45" i="10" s="1"/>
  <c r="V46" i="10"/>
  <c r="V45" i="10" s="1"/>
  <c r="W46" i="10"/>
  <c r="W45" i="10" s="1"/>
  <c r="X46" i="10"/>
  <c r="X45" i="10" s="1"/>
  <c r="Y46" i="10"/>
  <c r="Y45" i="10" s="1"/>
  <c r="Z46" i="10"/>
  <c r="Z45" i="10" s="1"/>
  <c r="AA46" i="10"/>
  <c r="AA45" i="10" s="1"/>
  <c r="AB46" i="10"/>
  <c r="AB45" i="10" s="1"/>
  <c r="AC46" i="10"/>
  <c r="AC45" i="10" s="1"/>
  <c r="AD46" i="10"/>
  <c r="AD45" i="10" s="1"/>
  <c r="AE46" i="10"/>
  <c r="AE45" i="10" s="1"/>
  <c r="AF46" i="10"/>
  <c r="AF45" i="10" s="1"/>
  <c r="AG46" i="10"/>
  <c r="AG45" i="10" s="1"/>
  <c r="AH46" i="10"/>
  <c r="AH45" i="10" s="1"/>
  <c r="AI46" i="10"/>
  <c r="AI45" i="10" s="1"/>
  <c r="AJ46" i="10"/>
  <c r="AJ45" i="10" s="1"/>
  <c r="AK46" i="10"/>
  <c r="AK45" i="10" s="1"/>
  <c r="AL46" i="10"/>
  <c r="AL45" i="10" s="1"/>
  <c r="AM46" i="10"/>
  <c r="AM45" i="10" s="1"/>
  <c r="AN46" i="10"/>
  <c r="AN45" i="10" s="1"/>
  <c r="AO46" i="10"/>
  <c r="AO45" i="10" s="1"/>
  <c r="AP46" i="10"/>
  <c r="AP45" i="10" s="1"/>
  <c r="AQ46" i="10"/>
  <c r="AQ45" i="10" s="1"/>
  <c r="AR46" i="10"/>
  <c r="AR45" i="10" s="1"/>
  <c r="AS46" i="10"/>
  <c r="AS45" i="10" s="1"/>
  <c r="AT46" i="10"/>
  <c r="AT45" i="10" s="1"/>
  <c r="AU46" i="10"/>
  <c r="AU45" i="10" s="1"/>
  <c r="AV46" i="10"/>
  <c r="AV45" i="10" s="1"/>
  <c r="AW46" i="10"/>
  <c r="AW45" i="10" s="1"/>
  <c r="AX46" i="10"/>
  <c r="AX45" i="10" s="1"/>
  <c r="AY46" i="10"/>
  <c r="AY45" i="10" s="1"/>
  <c r="AZ46" i="10"/>
  <c r="AZ45" i="10" s="1"/>
  <c r="BA46" i="10"/>
  <c r="BA45" i="10" s="1"/>
  <c r="BB46" i="10"/>
  <c r="BB45" i="10" s="1"/>
  <c r="BC46" i="10"/>
  <c r="BC45" i="10" s="1"/>
  <c r="BD46" i="10"/>
  <c r="BD45" i="10" s="1"/>
  <c r="BE46" i="10"/>
  <c r="BE45" i="10" s="1"/>
  <c r="BF46" i="10"/>
  <c r="BF45" i="10" s="1"/>
  <c r="BG46" i="10"/>
  <c r="BG45" i="10" s="1"/>
  <c r="BH46" i="10"/>
  <c r="BH45" i="10" s="1"/>
  <c r="BI46" i="10"/>
  <c r="BI45" i="10" s="1"/>
  <c r="BJ46" i="10"/>
  <c r="BJ45" i="10" s="1"/>
  <c r="BK46" i="10"/>
  <c r="BK45" i="10" s="1"/>
  <c r="BL46" i="10"/>
  <c r="BL45" i="10" s="1"/>
  <c r="BM46" i="10"/>
  <c r="BM45" i="10" s="1"/>
  <c r="BN46" i="10"/>
  <c r="BN45" i="10" s="1"/>
  <c r="BO46" i="10"/>
  <c r="BO45" i="10" s="1"/>
  <c r="BP46" i="10"/>
  <c r="BP45" i="10" s="1"/>
  <c r="BQ46" i="10"/>
  <c r="BQ45" i="10" s="1"/>
  <c r="BR46" i="10"/>
  <c r="BR45" i="10" s="1"/>
  <c r="BS46" i="10"/>
  <c r="BS45" i="10" s="1"/>
  <c r="BT46" i="10"/>
  <c r="BT45" i="10" s="1"/>
  <c r="BU46" i="10"/>
  <c r="BU45" i="10" s="1"/>
  <c r="BV46" i="10"/>
  <c r="BV45" i="10" s="1"/>
  <c r="BW46" i="10"/>
  <c r="BW45" i="10" s="1"/>
  <c r="BX46" i="10"/>
  <c r="BX45" i="10" s="1"/>
  <c r="BY46" i="10"/>
  <c r="BY45" i="10" s="1"/>
  <c r="BZ46" i="10"/>
  <c r="BZ45" i="10" s="1"/>
  <c r="CA46" i="10"/>
  <c r="CA45" i="10" s="1"/>
  <c r="CB46" i="10"/>
  <c r="CB45" i="10" s="1"/>
  <c r="CC46" i="10"/>
  <c r="CC45" i="10" s="1"/>
  <c r="CD46" i="10"/>
  <c r="CD45" i="10" s="1"/>
  <c r="CE46" i="10"/>
  <c r="CE45" i="10" s="1"/>
  <c r="CF46" i="10"/>
  <c r="CF45" i="10" s="1"/>
  <c r="CG46" i="10"/>
  <c r="CG45" i="10" s="1"/>
  <c r="CH46" i="10"/>
  <c r="CH45" i="10" s="1"/>
  <c r="CI46" i="10"/>
  <c r="CI45" i="10" s="1"/>
  <c r="CJ46" i="10"/>
  <c r="CJ45" i="10" s="1"/>
  <c r="CK46" i="10"/>
  <c r="CK45" i="10" s="1"/>
  <c r="CL46" i="10"/>
  <c r="CL45" i="10" s="1"/>
  <c r="CM46" i="10"/>
  <c r="CM45" i="10" s="1"/>
  <c r="CN46" i="10"/>
  <c r="CN45" i="10" s="1"/>
  <c r="CO46" i="10"/>
  <c r="CO45" i="10" s="1"/>
  <c r="CP46" i="10"/>
  <c r="CP45" i="10" s="1"/>
  <c r="CQ46" i="10"/>
  <c r="CQ45" i="10" s="1"/>
  <c r="CR46" i="10"/>
  <c r="CR45" i="10" s="1"/>
  <c r="CS46" i="10"/>
  <c r="CS45" i="10" s="1"/>
  <c r="CT46" i="10"/>
  <c r="CT45" i="10" s="1"/>
  <c r="CU46" i="10"/>
  <c r="CU45" i="10" s="1"/>
  <c r="CV46" i="10"/>
  <c r="CV45" i="10" s="1"/>
  <c r="CW46" i="10"/>
  <c r="CW45" i="10" s="1"/>
  <c r="CX46" i="10"/>
  <c r="CX45" i="10" s="1"/>
  <c r="CY46" i="10"/>
  <c r="CY45" i="10" s="1"/>
  <c r="CZ46" i="10"/>
  <c r="CZ45" i="10" s="1"/>
  <c r="DA46" i="10"/>
  <c r="DA45" i="10" s="1"/>
  <c r="DB46" i="10"/>
  <c r="DB45" i="10" s="1"/>
  <c r="DC46" i="10"/>
  <c r="DC45" i="10" s="1"/>
  <c r="DD46" i="10"/>
  <c r="DD45" i="10" s="1"/>
  <c r="DE46" i="10"/>
  <c r="DE45" i="10" s="1"/>
  <c r="DF46" i="10"/>
  <c r="DF45" i="10" s="1"/>
  <c r="DG46" i="10"/>
  <c r="DG45" i="10" s="1"/>
  <c r="DH46" i="10"/>
  <c r="DH45" i="10" s="1"/>
  <c r="DI46" i="10"/>
  <c r="DI45" i="10" s="1"/>
  <c r="DJ46" i="10"/>
  <c r="DJ45" i="10" s="1"/>
  <c r="DK46" i="10"/>
  <c r="DK45" i="10" s="1"/>
  <c r="DL46" i="10"/>
  <c r="DL45" i="10" s="1"/>
  <c r="D46" i="10"/>
  <c r="D53" i="10"/>
  <c r="F52" i="10"/>
  <c r="G52" i="10"/>
  <c r="J52" i="10"/>
  <c r="K52" i="10"/>
  <c r="N52" i="10"/>
  <c r="O52" i="10"/>
  <c r="R52" i="10"/>
  <c r="S52" i="10"/>
  <c r="D52" i="10"/>
  <c r="E53" i="10"/>
  <c r="E52" i="10" s="1"/>
  <c r="F53" i="10"/>
  <c r="G53" i="10"/>
  <c r="H53" i="10"/>
  <c r="H52" i="10" s="1"/>
  <c r="I53" i="10"/>
  <c r="I52" i="10" s="1"/>
  <c r="J53" i="10"/>
  <c r="K53" i="10"/>
  <c r="L53" i="10"/>
  <c r="L52" i="10" s="1"/>
  <c r="M53" i="10"/>
  <c r="M52" i="10" s="1"/>
  <c r="N53" i="10"/>
  <c r="O53" i="10"/>
  <c r="P53" i="10"/>
  <c r="P52" i="10" s="1"/>
  <c r="Q53" i="10"/>
  <c r="Q52" i="10" s="1"/>
  <c r="R53" i="10"/>
  <c r="S53" i="10"/>
  <c r="T53" i="10"/>
  <c r="T52" i="10" s="1"/>
  <c r="D54" i="10"/>
  <c r="U54" i="10" s="1"/>
  <c r="V53" i="10"/>
  <c r="V52" i="10" s="1"/>
  <c r="W53" i="10"/>
  <c r="W52" i="10" s="1"/>
  <c r="X53" i="10"/>
  <c r="X52" i="10" s="1"/>
  <c r="Y53" i="10"/>
  <c r="Y52" i="10" s="1"/>
  <c r="Z53" i="10"/>
  <c r="Z52" i="10" s="1"/>
  <c r="AA53" i="10"/>
  <c r="AA52" i="10" s="1"/>
  <c r="AB53" i="10"/>
  <c r="AB52" i="10" s="1"/>
  <c r="AC53" i="10"/>
  <c r="AC52" i="10" s="1"/>
  <c r="AD53" i="10"/>
  <c r="AD52" i="10" s="1"/>
  <c r="AE53" i="10"/>
  <c r="AE52" i="10" s="1"/>
  <c r="AF53" i="10"/>
  <c r="AF52" i="10" s="1"/>
  <c r="AG53" i="10"/>
  <c r="AG52" i="10" s="1"/>
  <c r="AH53" i="10"/>
  <c r="AH52" i="10" s="1"/>
  <c r="AI53" i="10"/>
  <c r="AI52" i="10" s="1"/>
  <c r="AJ53" i="10"/>
  <c r="AJ52" i="10" s="1"/>
  <c r="AK53" i="10"/>
  <c r="AK52" i="10" s="1"/>
  <c r="AL53" i="10"/>
  <c r="AL52" i="10" s="1"/>
  <c r="AM53" i="10"/>
  <c r="AM52" i="10" s="1"/>
  <c r="AN53" i="10"/>
  <c r="AN52" i="10" s="1"/>
  <c r="AO53" i="10"/>
  <c r="AO52" i="10" s="1"/>
  <c r="AP53" i="10"/>
  <c r="AP52" i="10" s="1"/>
  <c r="AQ53" i="10"/>
  <c r="AQ52" i="10" s="1"/>
  <c r="AR53" i="10"/>
  <c r="AR52" i="10" s="1"/>
  <c r="AS53" i="10"/>
  <c r="AS52" i="10" s="1"/>
  <c r="AT53" i="10"/>
  <c r="AT52" i="10" s="1"/>
  <c r="AU53" i="10"/>
  <c r="AU52" i="10" s="1"/>
  <c r="AV53" i="10"/>
  <c r="AV52" i="10" s="1"/>
  <c r="AW53" i="10"/>
  <c r="AW52" i="10" s="1"/>
  <c r="AX53" i="10"/>
  <c r="AX52" i="10" s="1"/>
  <c r="AY53" i="10"/>
  <c r="AY52" i="10" s="1"/>
  <c r="AZ53" i="10"/>
  <c r="AZ52" i="10" s="1"/>
  <c r="BA53" i="10"/>
  <c r="BA52" i="10" s="1"/>
  <c r="BB53" i="10"/>
  <c r="BB52" i="10" s="1"/>
  <c r="BC53" i="10"/>
  <c r="BC52" i="10" s="1"/>
  <c r="BD53" i="10"/>
  <c r="BD52" i="10" s="1"/>
  <c r="BE53" i="10"/>
  <c r="BE52" i="10" s="1"/>
  <c r="BF53" i="10"/>
  <c r="BF52" i="10" s="1"/>
  <c r="BG53" i="10"/>
  <c r="BG52" i="10" s="1"/>
  <c r="BH53" i="10"/>
  <c r="BH52" i="10" s="1"/>
  <c r="BI53" i="10"/>
  <c r="BI52" i="10" s="1"/>
  <c r="BJ53" i="10"/>
  <c r="BJ52" i="10" s="1"/>
  <c r="BK53" i="10"/>
  <c r="BK52" i="10" s="1"/>
  <c r="BL53" i="10"/>
  <c r="BL52" i="10" s="1"/>
  <c r="BM53" i="10"/>
  <c r="BM52" i="10" s="1"/>
  <c r="BN53" i="10"/>
  <c r="BN52" i="10" s="1"/>
  <c r="BO53" i="10"/>
  <c r="BO52" i="10" s="1"/>
  <c r="BP53" i="10"/>
  <c r="BP52" i="10" s="1"/>
  <c r="BQ53" i="10"/>
  <c r="BQ52" i="10" s="1"/>
  <c r="BR53" i="10"/>
  <c r="BR52" i="10" s="1"/>
  <c r="BS53" i="10"/>
  <c r="BS52" i="10" s="1"/>
  <c r="BT53" i="10"/>
  <c r="BT52" i="10" s="1"/>
  <c r="BU53" i="10"/>
  <c r="BU52" i="10" s="1"/>
  <c r="BV53" i="10"/>
  <c r="BV52" i="10" s="1"/>
  <c r="BW53" i="10"/>
  <c r="BW52" i="10" s="1"/>
  <c r="BX53" i="10"/>
  <c r="BX52" i="10" s="1"/>
  <c r="BY53" i="10"/>
  <c r="BY52" i="10" s="1"/>
  <c r="BZ53" i="10"/>
  <c r="BZ52" i="10" s="1"/>
  <c r="CA53" i="10"/>
  <c r="CA52" i="10" s="1"/>
  <c r="CB53" i="10"/>
  <c r="CB52" i="10" s="1"/>
  <c r="CC53" i="10"/>
  <c r="CC52" i="10" s="1"/>
  <c r="CD53" i="10"/>
  <c r="CD52" i="10" s="1"/>
  <c r="CE53" i="10"/>
  <c r="CE52" i="10" s="1"/>
  <c r="CF53" i="10"/>
  <c r="CF52" i="10" s="1"/>
  <c r="CG53" i="10"/>
  <c r="CG52" i="10" s="1"/>
  <c r="CH53" i="10"/>
  <c r="CH52" i="10" s="1"/>
  <c r="CI53" i="10"/>
  <c r="CI52" i="10" s="1"/>
  <c r="CJ53" i="10"/>
  <c r="CJ52" i="10" s="1"/>
  <c r="CK53" i="10"/>
  <c r="CK52" i="10" s="1"/>
  <c r="CL53" i="10"/>
  <c r="CL52" i="10" s="1"/>
  <c r="CM53" i="10"/>
  <c r="CM52" i="10" s="1"/>
  <c r="CN53" i="10"/>
  <c r="CN52" i="10" s="1"/>
  <c r="CO53" i="10"/>
  <c r="CO52" i="10" s="1"/>
  <c r="CP53" i="10"/>
  <c r="CP52" i="10" s="1"/>
  <c r="CQ53" i="10"/>
  <c r="CQ52" i="10" s="1"/>
  <c r="CR53" i="10"/>
  <c r="CR52" i="10" s="1"/>
  <c r="CS53" i="10"/>
  <c r="CS52" i="10" s="1"/>
  <c r="CT53" i="10"/>
  <c r="CT52" i="10" s="1"/>
  <c r="CU53" i="10"/>
  <c r="CU52" i="10" s="1"/>
  <c r="CV53" i="10"/>
  <c r="CV52" i="10" s="1"/>
  <c r="CX53" i="10"/>
  <c r="CX52" i="10" s="1"/>
  <c r="CY53" i="10"/>
  <c r="CY52" i="10" s="1"/>
  <c r="CZ53" i="10"/>
  <c r="CZ52" i="10" s="1"/>
  <c r="DA53" i="10"/>
  <c r="DA52" i="10" s="1"/>
  <c r="DB53" i="10"/>
  <c r="DB52" i="10" s="1"/>
  <c r="DC53" i="10"/>
  <c r="DC52" i="10" s="1"/>
  <c r="DD53" i="10"/>
  <c r="DD52" i="10" s="1"/>
  <c r="DE53" i="10"/>
  <c r="DE52" i="10" s="1"/>
  <c r="DF53" i="10"/>
  <c r="DF52" i="10" s="1"/>
  <c r="DG53" i="10"/>
  <c r="DG52" i="10" s="1"/>
  <c r="DH53" i="10"/>
  <c r="DH52" i="10" s="1"/>
  <c r="DI53" i="10"/>
  <c r="DI52" i="10" s="1"/>
  <c r="DJ53" i="10"/>
  <c r="DJ52" i="10" s="1"/>
  <c r="DK53" i="10"/>
  <c r="DK52" i="10" s="1"/>
  <c r="DL53" i="10"/>
  <c r="DL52" i="10" s="1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AF73" i="10"/>
  <c r="AG73" i="10"/>
  <c r="AH73" i="10"/>
  <c r="AI73" i="10"/>
  <c r="AJ73" i="10"/>
  <c r="AK73" i="10"/>
  <c r="AL73" i="10"/>
  <c r="AM73" i="10"/>
  <c r="AN73" i="10"/>
  <c r="AO73" i="10"/>
  <c r="AP73" i="10"/>
  <c r="AQ73" i="10"/>
  <c r="AR73" i="10"/>
  <c r="AS73" i="10"/>
  <c r="AT73" i="10"/>
  <c r="AU73" i="10"/>
  <c r="AV73" i="10"/>
  <c r="AW73" i="10"/>
  <c r="AX73" i="10"/>
  <c r="AY73" i="10"/>
  <c r="AZ73" i="10"/>
  <c r="BA73" i="10"/>
  <c r="BB73" i="10"/>
  <c r="BC73" i="10"/>
  <c r="BD73" i="10"/>
  <c r="BE73" i="10"/>
  <c r="BF73" i="10"/>
  <c r="BG73" i="10"/>
  <c r="BH73" i="10"/>
  <c r="BI73" i="10"/>
  <c r="BJ73" i="10"/>
  <c r="BK73" i="10"/>
  <c r="BL73" i="10"/>
  <c r="BM73" i="10"/>
  <c r="BN73" i="10"/>
  <c r="BO73" i="10"/>
  <c r="BP73" i="10"/>
  <c r="BQ73" i="10"/>
  <c r="BR73" i="10"/>
  <c r="BS73" i="10"/>
  <c r="BT73" i="10"/>
  <c r="BU73" i="10"/>
  <c r="BV73" i="10"/>
  <c r="BW73" i="10"/>
  <c r="BX73" i="10"/>
  <c r="BY73" i="10"/>
  <c r="BZ73" i="10"/>
  <c r="CA73" i="10"/>
  <c r="CB73" i="10"/>
  <c r="CC73" i="10"/>
  <c r="CD73" i="10"/>
  <c r="CE73" i="10"/>
  <c r="CF73" i="10"/>
  <c r="CG73" i="10"/>
  <c r="CH73" i="10"/>
  <c r="CI73" i="10"/>
  <c r="CJ73" i="10"/>
  <c r="CK73" i="10"/>
  <c r="CL73" i="10"/>
  <c r="CM73" i="10"/>
  <c r="CN73" i="10"/>
  <c r="CO73" i="10"/>
  <c r="CP73" i="10"/>
  <c r="CQ73" i="10"/>
  <c r="CR73" i="10"/>
  <c r="CS73" i="10"/>
  <c r="CT73" i="10"/>
  <c r="CU73" i="10"/>
  <c r="CV73" i="10"/>
  <c r="CW73" i="10"/>
  <c r="CX73" i="10"/>
  <c r="CY73" i="10"/>
  <c r="CZ73" i="10"/>
  <c r="DA73" i="10"/>
  <c r="DB73" i="10"/>
  <c r="DC73" i="10"/>
  <c r="DD73" i="10"/>
  <c r="DE73" i="10"/>
  <c r="DF73" i="10"/>
  <c r="DG73" i="10"/>
  <c r="DH73" i="10"/>
  <c r="DI73" i="10"/>
  <c r="DJ73" i="10"/>
  <c r="DK73" i="10"/>
  <c r="DL73" i="10"/>
  <c r="D73" i="10"/>
  <c r="CZ75" i="10"/>
  <c r="DA75" i="10"/>
  <c r="DB75" i="10"/>
  <c r="DC75" i="10"/>
  <c r="DC74" i="10"/>
  <c r="DB74" i="10"/>
  <c r="DA74" i="10"/>
  <c r="CZ74" i="10"/>
  <c r="CZ55" i="10"/>
  <c r="DA55" i="10"/>
  <c r="DB55" i="10"/>
  <c r="DC55" i="10"/>
  <c r="CZ56" i="10"/>
  <c r="DA56" i="10"/>
  <c r="DB56" i="10"/>
  <c r="DC56" i="10"/>
  <c r="CZ57" i="10"/>
  <c r="DA57" i="10"/>
  <c r="DB57" i="10"/>
  <c r="DC57" i="10"/>
  <c r="CZ58" i="10"/>
  <c r="DA58" i="10"/>
  <c r="DB58" i="10"/>
  <c r="DC58" i="10"/>
  <c r="DC54" i="10"/>
  <c r="DB54" i="10"/>
  <c r="DA54" i="10"/>
  <c r="CZ54" i="10"/>
  <c r="CZ48" i="10"/>
  <c r="DA48" i="10"/>
  <c r="DB48" i="10"/>
  <c r="DC48" i="10"/>
  <c r="CZ49" i="10"/>
  <c r="DA49" i="10"/>
  <c r="DB49" i="10"/>
  <c r="DC49" i="10"/>
  <c r="CZ50" i="10"/>
  <c r="DA50" i="10"/>
  <c r="DB50" i="10"/>
  <c r="DC50" i="10"/>
  <c r="DC47" i="10"/>
  <c r="DB47" i="10"/>
  <c r="DA47" i="10"/>
  <c r="CZ47" i="10"/>
  <c r="CZ43" i="10"/>
  <c r="DA43" i="10"/>
  <c r="DB43" i="10"/>
  <c r="DC43" i="10"/>
  <c r="DA42" i="10"/>
  <c r="DB42" i="10"/>
  <c r="DC42" i="10"/>
  <c r="CZ42" i="10"/>
  <c r="CW75" i="10"/>
  <c r="CW74" i="10"/>
  <c r="CW55" i="10"/>
  <c r="CW56" i="10"/>
  <c r="CW57" i="10"/>
  <c r="CW58" i="10"/>
  <c r="CW48" i="10"/>
  <c r="CW49" i="10"/>
  <c r="CW50" i="10"/>
  <c r="CW47" i="10"/>
  <c r="CW42" i="10"/>
  <c r="CW43" i="10"/>
  <c r="CW41" i="10"/>
  <c r="CG58" i="10"/>
  <c r="CG43" i="10"/>
  <c r="BQ42" i="10"/>
  <c r="BQ50" i="10"/>
  <c r="BQ57" i="10"/>
  <c r="BQ75" i="10"/>
  <c r="BA74" i="10"/>
  <c r="BA56" i="10"/>
  <c r="BA49" i="10"/>
  <c r="BA48" i="10"/>
  <c r="AP55" i="10"/>
  <c r="AK55" i="10"/>
  <c r="Z54" i="10"/>
  <c r="U41" i="10"/>
  <c r="CE62" i="10"/>
  <c r="CC62" i="10"/>
  <c r="CB62" i="10"/>
  <c r="CA62" i="10"/>
  <c r="BZ62" i="10"/>
  <c r="BY62" i="10"/>
  <c r="BX62" i="10"/>
  <c r="BW62" i="10"/>
  <c r="BU62" i="10"/>
  <c r="BT62" i="10"/>
  <c r="BS62" i="10"/>
  <c r="BR62" i="10"/>
  <c r="BQ62" i="10"/>
  <c r="BP62" i="10"/>
  <c r="BY49" i="10"/>
  <c r="BY48" i="10"/>
  <c r="CE19" i="10"/>
  <c r="CC19" i="10"/>
  <c r="CB19" i="10"/>
  <c r="CA19" i="10"/>
  <c r="BZ19" i="10"/>
  <c r="BY19" i="10"/>
  <c r="BX19" i="10"/>
  <c r="BW19" i="10"/>
  <c r="BU19" i="10"/>
  <c r="BT19" i="10"/>
  <c r="BS19" i="10"/>
  <c r="BR19" i="10"/>
  <c r="BQ19" i="10"/>
  <c r="BP19" i="10"/>
  <c r="CU62" i="10"/>
  <c r="CS62" i="10"/>
  <c r="CR62" i="10"/>
  <c r="CQ62" i="10"/>
  <c r="CP62" i="10"/>
  <c r="CO62" i="10"/>
  <c r="CN62" i="10"/>
  <c r="CM62" i="10"/>
  <c r="CK62" i="10"/>
  <c r="CJ62" i="10"/>
  <c r="CI62" i="10"/>
  <c r="CH62" i="10"/>
  <c r="CG62" i="10"/>
  <c r="CF62" i="10"/>
  <c r="CO49" i="10"/>
  <c r="CO48" i="10"/>
  <c r="CU19" i="10"/>
  <c r="CS19" i="10"/>
  <c r="CR19" i="10"/>
  <c r="CQ19" i="10"/>
  <c r="CP19" i="10"/>
  <c r="CO19" i="10"/>
  <c r="CN19" i="10"/>
  <c r="CM19" i="10"/>
  <c r="CK19" i="10"/>
  <c r="CJ19" i="10"/>
  <c r="CI19" i="10"/>
  <c r="CH19" i="10"/>
  <c r="CG19" i="10"/>
  <c r="CF19" i="10"/>
  <c r="D75" i="10"/>
  <c r="D74" i="10"/>
  <c r="D55" i="10"/>
  <c r="D56" i="10"/>
  <c r="D57" i="10"/>
  <c r="D58" i="10"/>
  <c r="D48" i="10"/>
  <c r="D49" i="10"/>
  <c r="D50" i="10"/>
  <c r="D47" i="10"/>
  <c r="D42" i="10"/>
  <c r="D43" i="10"/>
  <c r="D41" i="10"/>
  <c r="DK74" i="10"/>
  <c r="DJ74" i="10"/>
  <c r="DI74" i="10"/>
  <c r="DH74" i="10"/>
  <c r="DG74" i="10"/>
  <c r="DF74" i="10"/>
  <c r="CY74" i="10"/>
  <c r="CX74" i="10"/>
  <c r="E74" i="10"/>
  <c r="AS74" i="10" s="1"/>
  <c r="DE74" i="10" s="1"/>
  <c r="C90" i="8"/>
  <c r="C89" i="8"/>
  <c r="I16" i="8"/>
  <c r="I15" i="8" s="1"/>
  <c r="J16" i="8"/>
  <c r="J15" i="8" s="1"/>
  <c r="K16" i="8"/>
  <c r="K15" i="8" s="1"/>
  <c r="L16" i="8"/>
  <c r="L15" i="8" s="1"/>
  <c r="M16" i="8"/>
  <c r="M15" i="8" s="1"/>
  <c r="N16" i="8"/>
  <c r="N15" i="8" s="1"/>
  <c r="O16" i="8"/>
  <c r="O15" i="8" s="1"/>
  <c r="P16" i="8"/>
  <c r="P15" i="8" s="1"/>
  <c r="Q16" i="8"/>
  <c r="Q15" i="8" s="1"/>
  <c r="R16" i="8"/>
  <c r="R15" i="8" s="1"/>
  <c r="S16" i="8"/>
  <c r="S15" i="8" s="1"/>
  <c r="T16" i="8"/>
  <c r="T15" i="8" s="1"/>
  <c r="U16" i="8"/>
  <c r="U15" i="8" s="1"/>
  <c r="V16" i="8"/>
  <c r="V15" i="8" s="1"/>
  <c r="W16" i="8"/>
  <c r="W15" i="8" s="1"/>
  <c r="X16" i="8"/>
  <c r="X15" i="8" s="1"/>
  <c r="Y16" i="8"/>
  <c r="Y15" i="8" s="1"/>
  <c r="Z16" i="8"/>
  <c r="Z15" i="8" s="1"/>
  <c r="AA16" i="8"/>
  <c r="AA15" i="8" s="1"/>
  <c r="AB16" i="8"/>
  <c r="AB15" i="8" s="1"/>
  <c r="AC16" i="8"/>
  <c r="AC15" i="8" s="1"/>
  <c r="AD16" i="8"/>
  <c r="AD15" i="8" s="1"/>
  <c r="AE16" i="8"/>
  <c r="AE15" i="8" s="1"/>
  <c r="AF16" i="8"/>
  <c r="AF15" i="8" s="1"/>
  <c r="AG16" i="8"/>
  <c r="AG15" i="8" s="1"/>
  <c r="AH16" i="8"/>
  <c r="AH15" i="8" s="1"/>
  <c r="AI16" i="8"/>
  <c r="AI15" i="8" s="1"/>
  <c r="AJ16" i="8"/>
  <c r="AJ15" i="8" s="1"/>
  <c r="AK16" i="8"/>
  <c r="AK15" i="8" s="1"/>
  <c r="AL16" i="8"/>
  <c r="AL15" i="8" s="1"/>
  <c r="AM16" i="8"/>
  <c r="AM15" i="8" s="1"/>
  <c r="AN16" i="8"/>
  <c r="AN15" i="8" s="1"/>
  <c r="I38" i="8"/>
  <c r="I37" i="8" s="1"/>
  <c r="I36" i="8" s="1"/>
  <c r="J38" i="8"/>
  <c r="J37" i="8" s="1"/>
  <c r="J36" i="8" s="1"/>
  <c r="K38" i="8"/>
  <c r="K37" i="8" s="1"/>
  <c r="K36" i="8" s="1"/>
  <c r="L38" i="8"/>
  <c r="L37" i="8" s="1"/>
  <c r="L36" i="8" s="1"/>
  <c r="M38" i="8"/>
  <c r="M37" i="8" s="1"/>
  <c r="M36" i="8" s="1"/>
  <c r="N38" i="8"/>
  <c r="N37" i="8" s="1"/>
  <c r="N36" i="8" s="1"/>
  <c r="O38" i="8"/>
  <c r="O37" i="8" s="1"/>
  <c r="O36" i="8" s="1"/>
  <c r="P38" i="8"/>
  <c r="P37" i="8" s="1"/>
  <c r="P36" i="8" s="1"/>
  <c r="Q38" i="8"/>
  <c r="Q37" i="8" s="1"/>
  <c r="Q36" i="8" s="1"/>
  <c r="R38" i="8"/>
  <c r="R37" i="8" s="1"/>
  <c r="R36" i="8" s="1"/>
  <c r="S38" i="8"/>
  <c r="S37" i="8" s="1"/>
  <c r="S36" i="8" s="1"/>
  <c r="T38" i="8"/>
  <c r="T37" i="8" s="1"/>
  <c r="T36" i="8" s="1"/>
  <c r="U38" i="8"/>
  <c r="U37" i="8" s="1"/>
  <c r="U36" i="8" s="1"/>
  <c r="V38" i="8"/>
  <c r="V37" i="8" s="1"/>
  <c r="V36" i="8" s="1"/>
  <c r="W38" i="8"/>
  <c r="W37" i="8" s="1"/>
  <c r="W36" i="8" s="1"/>
  <c r="X38" i="8"/>
  <c r="X37" i="8" s="1"/>
  <c r="X36" i="8" s="1"/>
  <c r="Y38" i="8"/>
  <c r="Y37" i="8" s="1"/>
  <c r="Y36" i="8" s="1"/>
  <c r="Z38" i="8"/>
  <c r="Z37" i="8" s="1"/>
  <c r="Z36" i="8" s="1"/>
  <c r="AA38" i="8"/>
  <c r="AA37" i="8" s="1"/>
  <c r="AA36" i="8" s="1"/>
  <c r="AB38" i="8"/>
  <c r="AB37" i="8" s="1"/>
  <c r="AB36" i="8" s="1"/>
  <c r="AC38" i="8"/>
  <c r="AC37" i="8" s="1"/>
  <c r="AC36" i="8" s="1"/>
  <c r="AD38" i="8"/>
  <c r="AD37" i="8" s="1"/>
  <c r="AD36" i="8" s="1"/>
  <c r="AE38" i="8"/>
  <c r="AE37" i="8" s="1"/>
  <c r="AE36" i="8" s="1"/>
  <c r="AF38" i="8"/>
  <c r="AF37" i="8" s="1"/>
  <c r="AF36" i="8" s="1"/>
  <c r="AG38" i="8"/>
  <c r="AG37" i="8" s="1"/>
  <c r="AG36" i="8" s="1"/>
  <c r="AH38" i="8"/>
  <c r="AH37" i="8" s="1"/>
  <c r="AH36" i="8" s="1"/>
  <c r="AI38" i="8"/>
  <c r="AI37" i="8" s="1"/>
  <c r="AI36" i="8" s="1"/>
  <c r="AJ38" i="8"/>
  <c r="AJ37" i="8" s="1"/>
  <c r="AJ36" i="8" s="1"/>
  <c r="AK38" i="8"/>
  <c r="AK37" i="8" s="1"/>
  <c r="AK36" i="8" s="1"/>
  <c r="AL38" i="8"/>
  <c r="AL37" i="8" s="1"/>
  <c r="AL36" i="8" s="1"/>
  <c r="AM38" i="8"/>
  <c r="AM37" i="8" s="1"/>
  <c r="AM36" i="8" s="1"/>
  <c r="AN38" i="8"/>
  <c r="AN37" i="8" s="1"/>
  <c r="AN36" i="8" s="1"/>
  <c r="H15" i="8"/>
  <c r="H16" i="8"/>
  <c r="H36" i="8"/>
  <c r="H37" i="8"/>
  <c r="H38" i="8"/>
  <c r="I44" i="8"/>
  <c r="I43" i="8" s="1"/>
  <c r="J44" i="8"/>
  <c r="J43" i="8" s="1"/>
  <c r="K44" i="8"/>
  <c r="K43" i="8" s="1"/>
  <c r="L44" i="8"/>
  <c r="L43" i="8" s="1"/>
  <c r="M44" i="8"/>
  <c r="M43" i="8" s="1"/>
  <c r="N44" i="8"/>
  <c r="N43" i="8" s="1"/>
  <c r="O44" i="8"/>
  <c r="O43" i="8" s="1"/>
  <c r="P44" i="8"/>
  <c r="P43" i="8" s="1"/>
  <c r="Q44" i="8"/>
  <c r="Q43" i="8" s="1"/>
  <c r="R44" i="8"/>
  <c r="R43" i="8" s="1"/>
  <c r="S44" i="8"/>
  <c r="S43" i="8" s="1"/>
  <c r="T44" i="8"/>
  <c r="T43" i="8" s="1"/>
  <c r="U44" i="8"/>
  <c r="U43" i="8" s="1"/>
  <c r="V44" i="8"/>
  <c r="V43" i="8" s="1"/>
  <c r="W44" i="8"/>
  <c r="W43" i="8" s="1"/>
  <c r="X44" i="8"/>
  <c r="X43" i="8" s="1"/>
  <c r="Y44" i="8"/>
  <c r="Y43" i="8" s="1"/>
  <c r="Z44" i="8"/>
  <c r="Z43" i="8" s="1"/>
  <c r="AA44" i="8"/>
  <c r="AA43" i="8" s="1"/>
  <c r="AB44" i="8"/>
  <c r="AB43" i="8" s="1"/>
  <c r="AC44" i="8"/>
  <c r="AC43" i="8" s="1"/>
  <c r="AD44" i="8"/>
  <c r="AD43" i="8" s="1"/>
  <c r="AE44" i="8"/>
  <c r="AE43" i="8" s="1"/>
  <c r="AF44" i="8"/>
  <c r="AF43" i="8" s="1"/>
  <c r="AG44" i="8"/>
  <c r="AG43" i="8" s="1"/>
  <c r="AH44" i="8"/>
  <c r="AH43" i="8" s="1"/>
  <c r="AI44" i="8"/>
  <c r="AI43" i="8" s="1"/>
  <c r="AJ44" i="8"/>
  <c r="AJ43" i="8" s="1"/>
  <c r="AK44" i="8"/>
  <c r="AK43" i="8" s="1"/>
  <c r="AL44" i="8"/>
  <c r="AL43" i="8" s="1"/>
  <c r="AM44" i="8"/>
  <c r="AM43" i="8" s="1"/>
  <c r="AN44" i="8"/>
  <c r="AN43" i="8" s="1"/>
  <c r="H43" i="8"/>
  <c r="H44" i="8"/>
  <c r="I51" i="8"/>
  <c r="I50" i="8" s="1"/>
  <c r="J51" i="8"/>
  <c r="J50" i="8" s="1"/>
  <c r="K51" i="8"/>
  <c r="K50" i="8" s="1"/>
  <c r="L51" i="8"/>
  <c r="L50" i="8" s="1"/>
  <c r="M51" i="8"/>
  <c r="M50" i="8" s="1"/>
  <c r="N51" i="8"/>
  <c r="N50" i="8" s="1"/>
  <c r="O51" i="8"/>
  <c r="O50" i="8" s="1"/>
  <c r="P51" i="8"/>
  <c r="P50" i="8" s="1"/>
  <c r="Q51" i="8"/>
  <c r="Q50" i="8" s="1"/>
  <c r="R51" i="8"/>
  <c r="R50" i="8" s="1"/>
  <c r="S51" i="8"/>
  <c r="S50" i="8" s="1"/>
  <c r="T51" i="8"/>
  <c r="T50" i="8" s="1"/>
  <c r="U51" i="8"/>
  <c r="U50" i="8" s="1"/>
  <c r="V51" i="8"/>
  <c r="V50" i="8" s="1"/>
  <c r="W51" i="8"/>
  <c r="W50" i="8" s="1"/>
  <c r="X51" i="8"/>
  <c r="X50" i="8" s="1"/>
  <c r="Y51" i="8"/>
  <c r="Y50" i="8" s="1"/>
  <c r="Z51" i="8"/>
  <c r="Z50" i="8" s="1"/>
  <c r="AA51" i="8"/>
  <c r="AA50" i="8" s="1"/>
  <c r="AB51" i="8"/>
  <c r="AB50" i="8" s="1"/>
  <c r="AC51" i="8"/>
  <c r="AC50" i="8" s="1"/>
  <c r="AD51" i="8"/>
  <c r="AD50" i="8" s="1"/>
  <c r="AE51" i="8"/>
  <c r="AE50" i="8" s="1"/>
  <c r="AF51" i="8"/>
  <c r="AF50" i="8" s="1"/>
  <c r="AG51" i="8"/>
  <c r="AG50" i="8" s="1"/>
  <c r="AH51" i="8"/>
  <c r="AH50" i="8" s="1"/>
  <c r="AI51" i="8"/>
  <c r="AI50" i="8" s="1"/>
  <c r="AJ51" i="8"/>
  <c r="AJ50" i="8" s="1"/>
  <c r="AK51" i="8"/>
  <c r="AK50" i="8" s="1"/>
  <c r="AL51" i="8"/>
  <c r="AL50" i="8" s="1"/>
  <c r="AM51" i="8"/>
  <c r="AM50" i="8" s="1"/>
  <c r="AN51" i="8"/>
  <c r="AN50" i="8" s="1"/>
  <c r="H50" i="8"/>
  <c r="H5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H71" i="8"/>
  <c r="DQ72" i="15" l="1"/>
  <c r="DM72" i="15"/>
  <c r="CW37" i="15"/>
  <c r="CW17" i="15" s="1"/>
  <c r="CW16" i="15" s="1"/>
  <c r="CY37" i="15"/>
  <c r="CY17" i="15" s="1"/>
  <c r="CY16" i="15" s="1"/>
  <c r="CX37" i="15"/>
  <c r="CX17" i="15" s="1"/>
  <c r="CX16" i="15" s="1"/>
  <c r="CG37" i="15"/>
  <c r="CG17" i="15" s="1"/>
  <c r="CG16" i="15" s="1"/>
  <c r="CK37" i="15"/>
  <c r="CK17" i="15" s="1"/>
  <c r="CK16" i="15" s="1"/>
  <c r="CF37" i="15"/>
  <c r="CF17" i="15" s="1"/>
  <c r="CF16" i="15" s="1"/>
  <c r="CM37" i="15"/>
  <c r="CM17" i="15" s="1"/>
  <c r="CM16" i="15" s="1"/>
  <c r="CI37" i="15"/>
  <c r="CI17" i="15" s="1"/>
  <c r="CI16" i="15" s="1"/>
  <c r="CL37" i="15"/>
  <c r="CL17" i="15" s="1"/>
  <c r="CL16" i="15" s="1"/>
  <c r="CH37" i="15"/>
  <c r="CH17" i="15" s="1"/>
  <c r="CH16" i="15" s="1"/>
  <c r="BW37" i="15"/>
  <c r="BS37" i="15"/>
  <c r="BS17" i="15" s="1"/>
  <c r="BS16" i="15" s="1"/>
  <c r="BV37" i="15"/>
  <c r="BR37" i="15"/>
  <c r="BU37" i="15"/>
  <c r="BU17" i="15" s="1"/>
  <c r="BU16" i="15" s="1"/>
  <c r="BR17" i="15"/>
  <c r="BR16" i="15" s="1"/>
  <c r="BV17" i="15"/>
  <c r="BV16" i="15" s="1"/>
  <c r="BW17" i="15"/>
  <c r="BW16" i="15" s="1"/>
  <c r="CA17" i="15"/>
  <c r="CA16" i="15" s="1"/>
  <c r="CE17" i="15"/>
  <c r="CE16" i="15" s="1"/>
  <c r="BV38" i="14"/>
  <c r="BV18" i="14" s="1"/>
  <c r="BV17" i="14" s="1"/>
  <c r="BZ38" i="14"/>
  <c r="BZ18" i="14" s="1"/>
  <c r="BZ17" i="14" s="1"/>
  <c r="BY38" i="14"/>
  <c r="BY18" i="14" s="1"/>
  <c r="BY17" i="14" s="1"/>
  <c r="BX38" i="14"/>
  <c r="BX18" i="14" s="1"/>
  <c r="BX17" i="14" s="1"/>
  <c r="BU38" i="14"/>
  <c r="BU18" i="14" s="1"/>
  <c r="BU17" i="14" s="1"/>
  <c r="BF38" i="14"/>
  <c r="BF18" i="14"/>
  <c r="BF17" i="14" s="1"/>
  <c r="BL38" i="14"/>
  <c r="BL18" i="14" s="1"/>
  <c r="BL17" i="14" s="1"/>
  <c r="BK38" i="14"/>
  <c r="BK18" i="14" s="1"/>
  <c r="BK17" i="14" s="1"/>
  <c r="BJ38" i="14"/>
  <c r="BJ18" i="14" s="1"/>
  <c r="BJ17" i="14" s="1"/>
  <c r="BI38" i="14"/>
  <c r="BI18" i="14" s="1"/>
  <c r="BI17" i="14" s="1"/>
  <c r="BW38" i="14"/>
  <c r="BW18" i="14" s="1"/>
  <c r="BW17" i="14" s="1"/>
  <c r="BT38" i="14"/>
  <c r="BT18" i="14" s="1"/>
  <c r="BT17" i="14" s="1"/>
  <c r="BH38" i="14"/>
  <c r="BH18" i="14" s="1"/>
  <c r="BH17" i="14" s="1"/>
  <c r="BG38" i="14"/>
  <c r="BG18" i="14" s="1"/>
  <c r="BG17" i="14" s="1"/>
  <c r="AU38" i="14"/>
  <c r="AU18" i="14" s="1"/>
  <c r="AU17" i="14" s="1"/>
  <c r="AX38" i="14"/>
  <c r="AX18" i="14" s="1"/>
  <c r="AX17" i="14" s="1"/>
  <c r="AT38" i="14"/>
  <c r="AT18" i="14" s="1"/>
  <c r="AT17" i="14" s="1"/>
  <c r="AW38" i="14"/>
  <c r="AW18" i="14" s="1"/>
  <c r="AW17" i="14" s="1"/>
  <c r="AS38" i="14"/>
  <c r="AS18" i="14" s="1"/>
  <c r="AS17" i="14" s="1"/>
  <c r="AV38" i="14"/>
  <c r="AV18" i="14" s="1"/>
  <c r="AV17" i="14" s="1"/>
  <c r="AR38" i="14"/>
  <c r="AR18" i="14" s="1"/>
  <c r="AR17" i="14" s="1"/>
  <c r="AH38" i="14"/>
  <c r="AH18" i="14" s="1"/>
  <c r="AH17" i="14" s="1"/>
  <c r="AI38" i="14"/>
  <c r="AI18" i="14" s="1"/>
  <c r="AI17" i="14" s="1"/>
  <c r="AJ38" i="14"/>
  <c r="AJ18" i="14" s="1"/>
  <c r="AJ17" i="14" s="1"/>
  <c r="AD38" i="14"/>
  <c r="AD18" i="14" s="1"/>
  <c r="AD17" i="14" s="1"/>
  <c r="AG38" i="14"/>
  <c r="AG18" i="14" s="1"/>
  <c r="AG17" i="14" s="1"/>
  <c r="AF38" i="14"/>
  <c r="AF18" i="14" s="1"/>
  <c r="AF17" i="14" s="1"/>
  <c r="AE38" i="14"/>
  <c r="AE18" i="14" s="1"/>
  <c r="AE17" i="14" s="1"/>
  <c r="AD38" i="37"/>
  <c r="AD18" i="37" s="1"/>
  <c r="AD17" i="37" s="1"/>
  <c r="AI38" i="37"/>
  <c r="AI18" i="37" s="1"/>
  <c r="AI17" i="37" s="1"/>
  <c r="AA53" i="37"/>
  <c r="AA52" i="37" s="1"/>
  <c r="AA38" i="37" s="1"/>
  <c r="AA18" i="37" s="1"/>
  <c r="AA17" i="37" s="1"/>
  <c r="AE53" i="37"/>
  <c r="AE52" i="37" s="1"/>
  <c r="AE38" i="37"/>
  <c r="AE18" i="37" s="1"/>
  <c r="AE17" i="37" s="1"/>
  <c r="AC38" i="37"/>
  <c r="AC18" i="37" s="1"/>
  <c r="AC17" i="37" s="1"/>
  <c r="AF38" i="37"/>
  <c r="AF18" i="37" s="1"/>
  <c r="AF17" i="37" s="1"/>
  <c r="AB38" i="37"/>
  <c r="AB18" i="37" s="1"/>
  <c r="AB17" i="37" s="1"/>
  <c r="Z38" i="37"/>
  <c r="Z18" i="37" s="1"/>
  <c r="Z17" i="37" s="1"/>
  <c r="AK40" i="37"/>
  <c r="AK39" i="37" s="1"/>
  <c r="AK38" i="37" s="1"/>
  <c r="AK18" i="37" s="1"/>
  <c r="AK17" i="37" s="1"/>
  <c r="AM40" i="36"/>
  <c r="AM39" i="36" s="1"/>
  <c r="AM38" i="36" s="1"/>
  <c r="AM18" i="36" s="1"/>
  <c r="AM17" i="36" s="1"/>
  <c r="AM53" i="36"/>
  <c r="AM52" i="36" s="1"/>
  <c r="AN40" i="36"/>
  <c r="AN39" i="36" s="1"/>
  <c r="AN53" i="36"/>
  <c r="AN52" i="36" s="1"/>
  <c r="AB73" i="36"/>
  <c r="AF73" i="36"/>
  <c r="AI73" i="36"/>
  <c r="AM73" i="36"/>
  <c r="AD18" i="36"/>
  <c r="AD17" i="36" s="1"/>
  <c r="AL73" i="36"/>
  <c r="AH73" i="36"/>
  <c r="AK53" i="36"/>
  <c r="AK52" i="36" s="1"/>
  <c r="AE38" i="36"/>
  <c r="AE18" i="36" s="1"/>
  <c r="AE17" i="36" s="1"/>
  <c r="AA38" i="36"/>
  <c r="AA18" i="36" s="1"/>
  <c r="AA17" i="36" s="1"/>
  <c r="AF38" i="36"/>
  <c r="AF18" i="36" s="1"/>
  <c r="AF17" i="36" s="1"/>
  <c r="AB38" i="36"/>
  <c r="AB18" i="36" s="1"/>
  <c r="AB17" i="36" s="1"/>
  <c r="AH53" i="36"/>
  <c r="AH52" i="36" s="1"/>
  <c r="AH38" i="36" s="1"/>
  <c r="AH18" i="36" s="1"/>
  <c r="AH17" i="36" s="1"/>
  <c r="AK46" i="36"/>
  <c r="AK45" i="36" s="1"/>
  <c r="AL46" i="36"/>
  <c r="AL45" i="36" s="1"/>
  <c r="AK50" i="36"/>
  <c r="AK38" i="36"/>
  <c r="AK18" i="36" s="1"/>
  <c r="AK17" i="36" s="1"/>
  <c r="AC38" i="36"/>
  <c r="AC18" i="36" s="1"/>
  <c r="AC17" i="36" s="1"/>
  <c r="AI38" i="36"/>
  <c r="AJ46" i="36"/>
  <c r="AJ45" i="36" s="1"/>
  <c r="AN46" i="36"/>
  <c r="AN45" i="36" s="1"/>
  <c r="AN38" i="36"/>
  <c r="AN18" i="36" s="1"/>
  <c r="AN17" i="36" s="1"/>
  <c r="AL40" i="36"/>
  <c r="AL39" i="36" s="1"/>
  <c r="AL38" i="36" s="1"/>
  <c r="AL18" i="36" s="1"/>
  <c r="AL17" i="36" s="1"/>
  <c r="AC38" i="35"/>
  <c r="AC18" i="35" s="1"/>
  <c r="AC17" i="35" s="1"/>
  <c r="AA53" i="35"/>
  <c r="AA52" i="35" s="1"/>
  <c r="AA38" i="35" s="1"/>
  <c r="AA18" i="35" s="1"/>
  <c r="AA17" i="35" s="1"/>
  <c r="AE53" i="35"/>
  <c r="AE52" i="35" s="1"/>
  <c r="AD38" i="35"/>
  <c r="AD18" i="35" s="1"/>
  <c r="AD17" i="35" s="1"/>
  <c r="AB38" i="35"/>
  <c r="AB18" i="35" s="1"/>
  <c r="AB17" i="35" s="1"/>
  <c r="AH53" i="35"/>
  <c r="AH52" i="35" s="1"/>
  <c r="AH38" i="35" s="1"/>
  <c r="AH18" i="35" s="1"/>
  <c r="AH17" i="35" s="1"/>
  <c r="AF46" i="35"/>
  <c r="AF45" i="35" s="1"/>
  <c r="AF38" i="35" s="1"/>
  <c r="AF18" i="35" s="1"/>
  <c r="AF17" i="35" s="1"/>
  <c r="AJ46" i="35"/>
  <c r="AJ45" i="35" s="1"/>
  <c r="AJ38" i="35" s="1"/>
  <c r="AJ18" i="35" s="1"/>
  <c r="AJ17" i="35" s="1"/>
  <c r="AE46" i="35"/>
  <c r="AE45" i="35" s="1"/>
  <c r="AE38" i="35" s="1"/>
  <c r="AE18" i="35" s="1"/>
  <c r="AE17" i="35" s="1"/>
  <c r="AA46" i="35"/>
  <c r="AA45" i="35" s="1"/>
  <c r="Z38" i="35"/>
  <c r="Z18" i="35" s="1"/>
  <c r="Z17" i="35" s="1"/>
  <c r="AN46" i="35"/>
  <c r="AN45" i="35" s="1"/>
  <c r="AN38" i="35" s="1"/>
  <c r="AN18" i="35" s="1"/>
  <c r="AN17" i="35" s="1"/>
  <c r="AI38" i="35"/>
  <c r="AI18" i="35" s="1"/>
  <c r="AI17" i="35" s="1"/>
  <c r="AI47" i="35"/>
  <c r="AI46" i="35" s="1"/>
  <c r="AI45" i="35" s="1"/>
  <c r="AM47" i="35"/>
  <c r="AM46" i="35" s="1"/>
  <c r="AM45" i="35" s="1"/>
  <c r="AM38" i="35"/>
  <c r="AM18" i="35" s="1"/>
  <c r="AM17" i="35" s="1"/>
  <c r="AB53" i="31"/>
  <c r="AB52" i="31" s="1"/>
  <c r="AI47" i="31"/>
  <c r="AI46" i="31" s="1"/>
  <c r="AI45" i="31" s="1"/>
  <c r="AN47" i="31"/>
  <c r="AN46" i="31" s="1"/>
  <c r="AN45" i="31" s="1"/>
  <c r="AN38" i="31" s="1"/>
  <c r="O38" i="37"/>
  <c r="O18" i="37" s="1"/>
  <c r="O17" i="37" s="1"/>
  <c r="AM38" i="37"/>
  <c r="AM18" i="37" s="1"/>
  <c r="AM17" i="37" s="1"/>
  <c r="K38" i="37"/>
  <c r="K18" i="37" s="1"/>
  <c r="K17" i="37" s="1"/>
  <c r="AL38" i="37"/>
  <c r="AL18" i="37" s="1"/>
  <c r="AL17" i="37" s="1"/>
  <c r="AJ38" i="37"/>
  <c r="AJ18" i="37" s="1"/>
  <c r="AJ17" i="37" s="1"/>
  <c r="AN38" i="37"/>
  <c r="AN18" i="37" s="1"/>
  <c r="AN17" i="37" s="1"/>
  <c r="AJ38" i="36"/>
  <c r="AJ18" i="36" s="1"/>
  <c r="AJ17" i="36" s="1"/>
  <c r="K38" i="35"/>
  <c r="K18" i="35" s="1"/>
  <c r="K17" i="35" s="1"/>
  <c r="AL38" i="35"/>
  <c r="AL18" i="35" s="1"/>
  <c r="AL17" i="35" s="1"/>
  <c r="G38" i="35"/>
  <c r="G18" i="35" s="1"/>
  <c r="G17" i="35" s="1"/>
  <c r="W38" i="35"/>
  <c r="W18" i="35" s="1"/>
  <c r="W17" i="35" s="1"/>
  <c r="AK38" i="35"/>
  <c r="AK18" i="35" s="1"/>
  <c r="AK17" i="35" s="1"/>
  <c r="AM38" i="31"/>
  <c r="AM18" i="31" s="1"/>
  <c r="AM17" i="31" s="1"/>
  <c r="AE38" i="31"/>
  <c r="AE18" i="31" s="1"/>
  <c r="AE17" i="31" s="1"/>
  <c r="AI38" i="31"/>
  <c r="AG38" i="31"/>
  <c r="AG18" i="31" s="1"/>
  <c r="AG17" i="31" s="1"/>
  <c r="AJ38" i="31"/>
  <c r="AJ18" i="31" s="1"/>
  <c r="AJ17" i="31" s="1"/>
  <c r="AL38" i="31"/>
  <c r="AH38" i="31"/>
  <c r="AH18" i="31" s="1"/>
  <c r="AH17" i="31" s="1"/>
  <c r="AK38" i="31"/>
  <c r="AK18" i="31" s="1"/>
  <c r="AK17" i="31" s="1"/>
  <c r="AB38" i="31"/>
  <c r="AB18" i="31" s="1"/>
  <c r="AB17" i="31" s="1"/>
  <c r="AD38" i="31"/>
  <c r="AD18" i="31" s="1"/>
  <c r="AD17" i="31" s="1"/>
  <c r="AF38" i="31"/>
  <c r="AF18" i="31" s="1"/>
  <c r="AF17" i="31" s="1"/>
  <c r="K38" i="31"/>
  <c r="K18" i="31" s="1"/>
  <c r="K17" i="31" s="1"/>
  <c r="AA38" i="31"/>
  <c r="AA18" i="31" s="1"/>
  <c r="AA17" i="31" s="1"/>
  <c r="S38" i="31"/>
  <c r="S18" i="31" s="1"/>
  <c r="S17" i="31" s="1"/>
  <c r="E38" i="31"/>
  <c r="E18" i="31" s="1"/>
  <c r="E17" i="31" s="1"/>
  <c r="I38" i="31"/>
  <c r="I18" i="31" s="1"/>
  <c r="I17" i="31" s="1"/>
  <c r="M38" i="31"/>
  <c r="M18" i="31" s="1"/>
  <c r="M17" i="31" s="1"/>
  <c r="Q38" i="31"/>
  <c r="Q18" i="31" s="1"/>
  <c r="Q17" i="31" s="1"/>
  <c r="U38" i="31"/>
  <c r="U18" i="31" s="1"/>
  <c r="U17" i="31" s="1"/>
  <c r="Y38" i="31"/>
  <c r="Y18" i="31" s="1"/>
  <c r="Y17" i="31" s="1"/>
  <c r="AC38" i="31"/>
  <c r="AC18" i="31" s="1"/>
  <c r="AC17" i="31" s="1"/>
  <c r="L18" i="31"/>
  <c r="L17" i="31" s="1"/>
  <c r="T18" i="31"/>
  <c r="T17" i="31" s="1"/>
  <c r="AB53" i="11"/>
  <c r="AB52" i="11" s="1"/>
  <c r="AH53" i="11"/>
  <c r="AH52" i="11" s="1"/>
  <c r="AH40" i="11"/>
  <c r="H38" i="31"/>
  <c r="H18" i="31" s="1"/>
  <c r="H17" i="31" s="1"/>
  <c r="P38" i="31"/>
  <c r="P18" i="31" s="1"/>
  <c r="P17" i="31" s="1"/>
  <c r="X38" i="31"/>
  <c r="X18" i="31" s="1"/>
  <c r="X17" i="31" s="1"/>
  <c r="F38" i="31"/>
  <c r="F18" i="31" s="1"/>
  <c r="F17" i="31" s="1"/>
  <c r="J38" i="31"/>
  <c r="J18" i="31" s="1"/>
  <c r="J17" i="31" s="1"/>
  <c r="N38" i="31"/>
  <c r="N18" i="31" s="1"/>
  <c r="N17" i="31" s="1"/>
  <c r="R38" i="31"/>
  <c r="R18" i="31" s="1"/>
  <c r="R17" i="31" s="1"/>
  <c r="V38" i="31"/>
  <c r="V18" i="31" s="1"/>
  <c r="V17" i="31" s="1"/>
  <c r="Z38" i="31"/>
  <c r="Z18" i="31" s="1"/>
  <c r="Z17" i="31" s="1"/>
  <c r="U53" i="10"/>
  <c r="U52" i="10" s="1"/>
  <c r="CW54" i="10"/>
  <c r="CW53" i="10" s="1"/>
  <c r="CW52" i="10" s="1"/>
  <c r="AI18" i="36" l="1"/>
  <c r="AI17" i="36" s="1"/>
  <c r="AI18" i="31"/>
  <c r="AI17" i="31" s="1"/>
  <c r="AN18" i="31"/>
  <c r="AN17" i="31" s="1"/>
  <c r="AL18" i="31"/>
  <c r="AL17" i="31" s="1"/>
  <c r="AM73" i="8"/>
  <c r="AM72" i="8"/>
  <c r="AM53" i="8"/>
  <c r="AM54" i="8"/>
  <c r="AM55" i="8"/>
  <c r="AM56" i="8"/>
  <c r="AM52" i="8"/>
  <c r="AM46" i="8"/>
  <c r="AM47" i="8"/>
  <c r="AM48" i="8"/>
  <c r="AM45" i="8"/>
  <c r="AM40" i="8"/>
  <c r="AM41" i="8"/>
  <c r="AM39" i="8"/>
  <c r="AK73" i="8"/>
  <c r="AK72" i="8"/>
  <c r="AK53" i="8"/>
  <c r="AK54" i="8"/>
  <c r="AK55" i="8"/>
  <c r="AK56" i="8"/>
  <c r="AK52" i="8"/>
  <c r="AK46" i="8"/>
  <c r="AK47" i="8"/>
  <c r="AK48" i="8"/>
  <c r="AK45" i="8"/>
  <c r="AK40" i="8"/>
  <c r="AK41" i="8"/>
  <c r="AK39" i="8"/>
  <c r="AI73" i="8"/>
  <c r="AI72" i="8"/>
  <c r="AI53" i="8"/>
  <c r="AI54" i="8"/>
  <c r="AI55" i="8"/>
  <c r="AI56" i="8"/>
  <c r="AI52" i="8"/>
  <c r="AI46" i="8"/>
  <c r="AI47" i="8"/>
  <c r="AI48" i="8"/>
  <c r="AI45" i="8"/>
  <c r="AI40" i="8"/>
  <c r="AI41" i="8"/>
  <c r="AI39" i="8"/>
  <c r="AG73" i="8"/>
  <c r="AG72" i="8"/>
  <c r="AG53" i="8"/>
  <c r="AG54" i="8"/>
  <c r="AG55" i="8"/>
  <c r="AG56" i="8"/>
  <c r="AG52" i="8"/>
  <c r="AG46" i="8"/>
  <c r="AG47" i="8"/>
  <c r="AG48" i="8"/>
  <c r="AG45" i="8"/>
  <c r="AG40" i="8"/>
  <c r="AG41" i="8"/>
  <c r="AG39" i="8"/>
  <c r="AE73" i="8"/>
  <c r="AE72" i="8"/>
  <c r="AE53" i="8"/>
  <c r="AE54" i="8"/>
  <c r="AE55" i="8"/>
  <c r="AE56" i="8"/>
  <c r="AE52" i="8"/>
  <c r="AE46" i="8"/>
  <c r="AE47" i="8"/>
  <c r="AE48" i="8"/>
  <c r="AE45" i="8"/>
  <c r="AE40" i="8"/>
  <c r="AE41" i="8"/>
  <c r="AE39" i="8"/>
  <c r="AC73" i="8"/>
  <c r="AC72" i="8"/>
  <c r="AC40" i="8"/>
  <c r="AC41" i="8"/>
  <c r="AC39" i="8"/>
  <c r="AC48" i="8"/>
  <c r="AC46" i="8"/>
  <c r="AC47" i="8"/>
  <c r="AC45" i="8"/>
  <c r="AC53" i="8"/>
  <c r="AC54" i="8"/>
  <c r="AC55" i="8"/>
  <c r="AC56" i="8"/>
  <c r="AC52" i="8"/>
  <c r="AH60" i="8"/>
  <c r="AG60" i="8"/>
  <c r="AH48" i="8"/>
  <c r="AH47" i="8"/>
  <c r="AH46" i="8"/>
  <c r="AG17" i="8"/>
  <c r="AH17" i="8"/>
  <c r="AJ60" i="8"/>
  <c r="AI60" i="8"/>
  <c r="AJ47" i="8"/>
  <c r="AJ46" i="8"/>
  <c r="AJ17" i="8"/>
  <c r="AI17" i="8"/>
  <c r="N41" i="8"/>
  <c r="M41" i="8" s="1"/>
  <c r="K41" i="8" s="1"/>
  <c r="M39" i="8"/>
  <c r="K39" i="8" s="1"/>
  <c r="M40" i="8"/>
  <c r="N40" i="8"/>
  <c r="K72" i="8"/>
  <c r="N73" i="8"/>
  <c r="K73" i="8" s="1"/>
  <c r="N72" i="8"/>
  <c r="N56" i="8"/>
  <c r="M56" i="8" s="1"/>
  <c r="K56" i="8" s="1"/>
  <c r="N55" i="8"/>
  <c r="M55" i="8" s="1"/>
  <c r="K55" i="8" s="1"/>
  <c r="N54" i="8"/>
  <c r="M54" i="8" s="1"/>
  <c r="K54" i="8" s="1"/>
  <c r="N53" i="8"/>
  <c r="M53" i="8" s="1"/>
  <c r="K53" i="8" s="1"/>
  <c r="N52" i="8"/>
  <c r="M52" i="8" s="1"/>
  <c r="K52" i="8" s="1"/>
  <c r="N45" i="8"/>
  <c r="M45" i="8" s="1"/>
  <c r="K45" i="8" s="1"/>
  <c r="M46" i="8"/>
  <c r="M47" i="8"/>
  <c r="K47" i="8" s="1"/>
  <c r="N48" i="8"/>
  <c r="M48" i="8" s="1"/>
  <c r="K48" i="8" s="1"/>
  <c r="K46" i="8"/>
  <c r="H73" i="8"/>
  <c r="H72" i="8"/>
  <c r="H53" i="8"/>
  <c r="H54" i="8"/>
  <c r="H55" i="8"/>
  <c r="H56" i="8"/>
  <c r="H52" i="8"/>
  <c r="H46" i="8"/>
  <c r="H47" i="8"/>
  <c r="H48" i="8"/>
  <c r="H45" i="8"/>
  <c r="E41" i="8"/>
  <c r="F41" i="8"/>
  <c r="H40" i="8"/>
  <c r="H41" i="8"/>
  <c r="H39" i="8"/>
  <c r="D73" i="8"/>
  <c r="E73" i="8"/>
  <c r="F73" i="8"/>
  <c r="E72" i="8"/>
  <c r="F72" i="8"/>
  <c r="D72" i="8"/>
  <c r="D53" i="8"/>
  <c r="E53" i="8"/>
  <c r="F53" i="8"/>
  <c r="D54" i="8"/>
  <c r="E54" i="8"/>
  <c r="F54" i="8"/>
  <c r="D55" i="8"/>
  <c r="E55" i="8"/>
  <c r="F55" i="8"/>
  <c r="D56" i="8"/>
  <c r="E56" i="8"/>
  <c r="F56" i="8"/>
  <c r="E52" i="8"/>
  <c r="F52" i="8"/>
  <c r="D52" i="8"/>
  <c r="D46" i="8"/>
  <c r="E46" i="8"/>
  <c r="F46" i="8"/>
  <c r="D47" i="8"/>
  <c r="E47" i="8"/>
  <c r="F47" i="8"/>
  <c r="D48" i="8"/>
  <c r="E48" i="8"/>
  <c r="F48" i="8"/>
  <c r="E45" i="8"/>
  <c r="F45" i="8"/>
  <c r="D45" i="8"/>
  <c r="D40" i="8"/>
  <c r="E40" i="8"/>
  <c r="F40" i="8"/>
  <c r="G40" i="8"/>
  <c r="E39" i="8"/>
  <c r="F39" i="8"/>
  <c r="G39" i="8"/>
  <c r="D39" i="8"/>
  <c r="S73" i="8"/>
  <c r="P73" i="8" s="1"/>
  <c r="AF73" i="8" s="1"/>
  <c r="AN73" i="8" s="1"/>
  <c r="I73" i="8"/>
  <c r="G73" i="8"/>
  <c r="S55" i="30" l="1"/>
  <c r="R55" i="30"/>
  <c r="R49" i="30" s="1"/>
  <c r="Q55" i="30"/>
  <c r="P55" i="30"/>
  <c r="O55" i="30"/>
  <c r="N55" i="30"/>
  <c r="N49" i="30" s="1"/>
  <c r="M55" i="30"/>
  <c r="M49" i="30" s="1"/>
  <c r="L55" i="30"/>
  <c r="L49" i="30" s="1"/>
  <c r="K55" i="30"/>
  <c r="J55" i="30"/>
  <c r="J49" i="30" s="1"/>
  <c r="I55" i="30"/>
  <c r="I49" i="30" s="1"/>
  <c r="H55" i="30"/>
  <c r="H49" i="30" s="1"/>
  <c r="G55" i="30"/>
  <c r="F55" i="30"/>
  <c r="F49" i="30" s="1"/>
  <c r="E55" i="30"/>
  <c r="D55" i="30"/>
  <c r="D49" i="30" s="1"/>
  <c r="C55" i="30"/>
  <c r="S49" i="30"/>
  <c r="Q49" i="30"/>
  <c r="P49" i="30"/>
  <c r="O49" i="30"/>
  <c r="K49" i="30"/>
  <c r="G49" i="30"/>
  <c r="E49" i="30"/>
  <c r="C49" i="30"/>
  <c r="S46" i="30"/>
  <c r="R46" i="30"/>
  <c r="R45" i="30" s="1"/>
  <c r="Q46" i="30"/>
  <c r="P46" i="30"/>
  <c r="P45" i="30" s="1"/>
  <c r="N45" i="30"/>
  <c r="L45" i="30"/>
  <c r="J46" i="30"/>
  <c r="J45" i="30" s="1"/>
  <c r="I46" i="30"/>
  <c r="H46" i="30"/>
  <c r="H45" i="30" s="1"/>
  <c r="G46" i="30"/>
  <c r="G45" i="30" s="1"/>
  <c r="F46" i="30"/>
  <c r="F45" i="30" s="1"/>
  <c r="E46" i="30"/>
  <c r="D46" i="30"/>
  <c r="D45" i="30" s="1"/>
  <c r="C46" i="30"/>
  <c r="S45" i="30"/>
  <c r="Q45" i="30"/>
  <c r="O45" i="30"/>
  <c r="M45" i="30"/>
  <c r="K45" i="30"/>
  <c r="I45" i="30"/>
  <c r="E45" i="30"/>
  <c r="C45" i="30"/>
  <c r="S41" i="30"/>
  <c r="R41" i="30"/>
  <c r="R40" i="30" s="1"/>
  <c r="Q41" i="30"/>
  <c r="P41" i="30"/>
  <c r="O41" i="30"/>
  <c r="N41" i="30"/>
  <c r="N40" i="30" s="1"/>
  <c r="M41" i="30"/>
  <c r="L41" i="30"/>
  <c r="L40" i="30" s="1"/>
  <c r="K41" i="30"/>
  <c r="J41" i="30"/>
  <c r="J40" i="30" s="1"/>
  <c r="I41" i="30"/>
  <c r="H41" i="30"/>
  <c r="H40" i="30" s="1"/>
  <c r="G41" i="30"/>
  <c r="F41" i="30"/>
  <c r="F40" i="30" s="1"/>
  <c r="E41" i="30"/>
  <c r="D41" i="30"/>
  <c r="D40" i="30" s="1"/>
  <c r="C41" i="30"/>
  <c r="S40" i="30"/>
  <c r="Q40" i="30"/>
  <c r="P40" i="30"/>
  <c r="O40" i="30"/>
  <c r="M40" i="30"/>
  <c r="K40" i="30"/>
  <c r="K39" i="30" s="1"/>
  <c r="K18" i="30" s="1"/>
  <c r="K17" i="30" s="1"/>
  <c r="I40" i="30"/>
  <c r="G40" i="30"/>
  <c r="E40" i="30"/>
  <c r="C40" i="30"/>
  <c r="S36" i="30"/>
  <c r="S19" i="30" s="1"/>
  <c r="R36" i="30"/>
  <c r="Q36" i="30"/>
  <c r="Q19" i="30" s="1"/>
  <c r="P36" i="30"/>
  <c r="O36" i="30"/>
  <c r="N36" i="30"/>
  <c r="M36" i="30"/>
  <c r="M19" i="30" s="1"/>
  <c r="L36" i="30"/>
  <c r="K36" i="30"/>
  <c r="J36" i="30"/>
  <c r="I36" i="30"/>
  <c r="I19" i="30" s="1"/>
  <c r="H36" i="30"/>
  <c r="H19" i="30" s="1"/>
  <c r="G36" i="30"/>
  <c r="F36" i="30"/>
  <c r="E36" i="30"/>
  <c r="E19" i="30" s="1"/>
  <c r="D36" i="30"/>
  <c r="C36" i="30"/>
  <c r="C19" i="30" s="1"/>
  <c r="R19" i="30"/>
  <c r="P19" i="30"/>
  <c r="O19" i="30"/>
  <c r="N19" i="30"/>
  <c r="L19" i="30"/>
  <c r="K19" i="30"/>
  <c r="J19" i="30"/>
  <c r="G19" i="30"/>
  <c r="F19" i="30"/>
  <c r="D19" i="30"/>
  <c r="S56" i="29"/>
  <c r="R56" i="29"/>
  <c r="R50" i="29" s="1"/>
  <c r="Q56" i="29"/>
  <c r="P56" i="29"/>
  <c r="P50" i="29" s="1"/>
  <c r="O56" i="29"/>
  <c r="N56" i="29"/>
  <c r="N50" i="29" s="1"/>
  <c r="M56" i="29"/>
  <c r="L56" i="29"/>
  <c r="L50" i="29" s="1"/>
  <c r="K56" i="29"/>
  <c r="J56" i="29"/>
  <c r="J50" i="29" s="1"/>
  <c r="I56" i="29"/>
  <c r="H56" i="29"/>
  <c r="H50" i="29" s="1"/>
  <c r="G56" i="29"/>
  <c r="F56" i="29"/>
  <c r="F50" i="29" s="1"/>
  <c r="E56" i="29"/>
  <c r="D56" i="29"/>
  <c r="D50" i="29" s="1"/>
  <c r="C56" i="29"/>
  <c r="S50" i="29"/>
  <c r="Q50" i="29"/>
  <c r="O50" i="29"/>
  <c r="M50" i="29"/>
  <c r="K50" i="29"/>
  <c r="I50" i="29"/>
  <c r="G50" i="29"/>
  <c r="E50" i="29"/>
  <c r="C50" i="29"/>
  <c r="S46" i="29"/>
  <c r="R46" i="29"/>
  <c r="R45" i="29" s="1"/>
  <c r="Q46" i="29"/>
  <c r="P46" i="29"/>
  <c r="P45" i="29" s="1"/>
  <c r="O46" i="29"/>
  <c r="O45" i="29" s="1"/>
  <c r="N46" i="29"/>
  <c r="N45" i="29" s="1"/>
  <c r="M46" i="29"/>
  <c r="L46" i="29"/>
  <c r="L45" i="29" s="1"/>
  <c r="K46" i="29"/>
  <c r="J46" i="29"/>
  <c r="J45" i="29" s="1"/>
  <c r="I46" i="29"/>
  <c r="H46" i="29"/>
  <c r="H45" i="29" s="1"/>
  <c r="G46" i="29"/>
  <c r="G45" i="29" s="1"/>
  <c r="F46" i="29"/>
  <c r="F45" i="29" s="1"/>
  <c r="E46" i="29"/>
  <c r="D46" i="29"/>
  <c r="D45" i="29" s="1"/>
  <c r="C46" i="29"/>
  <c r="S45" i="29"/>
  <c r="Q45" i="29"/>
  <c r="M45" i="29"/>
  <c r="K45" i="29"/>
  <c r="I45" i="29"/>
  <c r="E45" i="29"/>
  <c r="C45" i="29"/>
  <c r="S41" i="29"/>
  <c r="R41" i="29"/>
  <c r="R40" i="29" s="1"/>
  <c r="Q41" i="29"/>
  <c r="P41" i="29"/>
  <c r="P40" i="29" s="1"/>
  <c r="O41" i="29"/>
  <c r="N41" i="29"/>
  <c r="N40" i="29" s="1"/>
  <c r="M41" i="29"/>
  <c r="L41" i="29"/>
  <c r="L40" i="29" s="1"/>
  <c r="K41" i="29"/>
  <c r="J41" i="29"/>
  <c r="J40" i="29" s="1"/>
  <c r="I41" i="29"/>
  <c r="H41" i="29"/>
  <c r="H40" i="29" s="1"/>
  <c r="G41" i="29"/>
  <c r="F41" i="29"/>
  <c r="F40" i="29" s="1"/>
  <c r="E41" i="29"/>
  <c r="D41" i="29"/>
  <c r="D40" i="29" s="1"/>
  <c r="C41" i="29"/>
  <c r="S40" i="29"/>
  <c r="Q40" i="29"/>
  <c r="Q39" i="29" s="1"/>
  <c r="O40" i="29"/>
  <c r="M40" i="29"/>
  <c r="K40" i="29"/>
  <c r="I40" i="29"/>
  <c r="I39" i="29" s="1"/>
  <c r="G40" i="29"/>
  <c r="E40" i="29"/>
  <c r="C40" i="29"/>
  <c r="S36" i="29"/>
  <c r="S19" i="29" s="1"/>
  <c r="R36" i="29"/>
  <c r="Q36" i="29"/>
  <c r="Q19" i="29" s="1"/>
  <c r="P36" i="29"/>
  <c r="O36" i="29"/>
  <c r="O19" i="29" s="1"/>
  <c r="N36" i="29"/>
  <c r="M36" i="29"/>
  <c r="M19" i="29" s="1"/>
  <c r="L36" i="29"/>
  <c r="K36" i="29"/>
  <c r="K19" i="29" s="1"/>
  <c r="J36" i="29"/>
  <c r="I36" i="29"/>
  <c r="I19" i="29" s="1"/>
  <c r="H36" i="29"/>
  <c r="G36" i="29"/>
  <c r="G19" i="29" s="1"/>
  <c r="F36" i="29"/>
  <c r="E36" i="29"/>
  <c r="E19" i="29" s="1"/>
  <c r="D36" i="29"/>
  <c r="C36" i="29"/>
  <c r="C19" i="29" s="1"/>
  <c r="R19" i="29"/>
  <c r="P19" i="29"/>
  <c r="N19" i="29"/>
  <c r="L19" i="29"/>
  <c r="J19" i="29"/>
  <c r="H19" i="29"/>
  <c r="F19" i="29"/>
  <c r="D19" i="29"/>
  <c r="S56" i="28"/>
  <c r="R56" i="28"/>
  <c r="Q56" i="28"/>
  <c r="Q50" i="28" s="1"/>
  <c r="P56" i="28"/>
  <c r="O56" i="28"/>
  <c r="N56" i="28"/>
  <c r="M56" i="28"/>
  <c r="M50" i="28" s="1"/>
  <c r="L56" i="28"/>
  <c r="K56" i="28"/>
  <c r="J56" i="28"/>
  <c r="I56" i="28"/>
  <c r="I50" i="28" s="1"/>
  <c r="H56" i="28"/>
  <c r="G56" i="28"/>
  <c r="F56" i="28"/>
  <c r="E56" i="28"/>
  <c r="E50" i="28" s="1"/>
  <c r="D56" i="28"/>
  <c r="C56" i="28"/>
  <c r="S50" i="28"/>
  <c r="R50" i="28"/>
  <c r="P50" i="28"/>
  <c r="O50" i="28"/>
  <c r="N50" i="28"/>
  <c r="L50" i="28"/>
  <c r="K50" i="28"/>
  <c r="J50" i="28"/>
  <c r="H50" i="28"/>
  <c r="G50" i="28"/>
  <c r="F50" i="28"/>
  <c r="D50" i="28"/>
  <c r="C50" i="28"/>
  <c r="S46" i="28"/>
  <c r="S45" i="28" s="1"/>
  <c r="S39" i="28" s="1"/>
  <c r="S18" i="28" s="1"/>
  <c r="S17" i="28" s="1"/>
  <c r="R46" i="28"/>
  <c r="Q46" i="28"/>
  <c r="P46" i="28"/>
  <c r="O46" i="28"/>
  <c r="O45" i="28" s="1"/>
  <c r="O39" i="28" s="1"/>
  <c r="O18" i="28" s="1"/>
  <c r="O17" i="28" s="1"/>
  <c r="N46" i="28"/>
  <c r="N45" i="28" s="1"/>
  <c r="M46" i="28"/>
  <c r="L46" i="28"/>
  <c r="K46" i="28"/>
  <c r="K45" i="28" s="1"/>
  <c r="K39" i="28" s="1"/>
  <c r="K18" i="28" s="1"/>
  <c r="K17" i="28" s="1"/>
  <c r="J46" i="28"/>
  <c r="I46" i="28"/>
  <c r="H46" i="28"/>
  <c r="G46" i="28"/>
  <c r="G45" i="28" s="1"/>
  <c r="G39" i="28" s="1"/>
  <c r="G18" i="28" s="1"/>
  <c r="G17" i="28" s="1"/>
  <c r="F46" i="28"/>
  <c r="E46" i="28"/>
  <c r="D46" i="28"/>
  <c r="C46" i="28"/>
  <c r="C45" i="28" s="1"/>
  <c r="C18" i="28" s="1"/>
  <c r="C17" i="28" s="1"/>
  <c r="R45" i="28"/>
  <c r="Q45" i="28"/>
  <c r="P45" i="28"/>
  <c r="P39" i="28" s="1"/>
  <c r="M45" i="28"/>
  <c r="L45" i="28"/>
  <c r="L39" i="28" s="1"/>
  <c r="J45" i="28"/>
  <c r="I45" i="28"/>
  <c r="H45" i="28"/>
  <c r="H39" i="28" s="1"/>
  <c r="F45" i="28"/>
  <c r="E45" i="28"/>
  <c r="D45" i="28"/>
  <c r="D39" i="28" s="1"/>
  <c r="S41" i="28"/>
  <c r="R41" i="28"/>
  <c r="Q41" i="28"/>
  <c r="Q40" i="28" s="1"/>
  <c r="P41" i="28"/>
  <c r="O41" i="28"/>
  <c r="N41" i="28"/>
  <c r="M41" i="28"/>
  <c r="M40" i="28" s="1"/>
  <c r="L41" i="28"/>
  <c r="K41" i="28"/>
  <c r="J41" i="28"/>
  <c r="I41" i="28"/>
  <c r="I40" i="28" s="1"/>
  <c r="H41" i="28"/>
  <c r="G41" i="28"/>
  <c r="F41" i="28"/>
  <c r="E41" i="28"/>
  <c r="E40" i="28" s="1"/>
  <c r="D41" i="28"/>
  <c r="C41" i="28"/>
  <c r="S40" i="28"/>
  <c r="R40" i="28"/>
  <c r="R39" i="28" s="1"/>
  <c r="R18" i="28" s="1"/>
  <c r="R17" i="28" s="1"/>
  <c r="P40" i="28"/>
  <c r="O40" i="28"/>
  <c r="N40" i="28"/>
  <c r="L40" i="28"/>
  <c r="K40" i="28"/>
  <c r="J40" i="28"/>
  <c r="J39" i="28" s="1"/>
  <c r="J18" i="28" s="1"/>
  <c r="J17" i="28" s="1"/>
  <c r="H40" i="28"/>
  <c r="G40" i="28"/>
  <c r="F40" i="28"/>
  <c r="F39" i="28" s="1"/>
  <c r="F18" i="28" s="1"/>
  <c r="F17" i="28" s="1"/>
  <c r="D40" i="28"/>
  <c r="C40" i="28"/>
  <c r="S36" i="28"/>
  <c r="R36" i="28"/>
  <c r="Q36" i="28"/>
  <c r="P36" i="28"/>
  <c r="P19" i="28" s="1"/>
  <c r="O36" i="28"/>
  <c r="N36" i="28"/>
  <c r="M36" i="28"/>
  <c r="L36" i="28"/>
  <c r="L19" i="28" s="1"/>
  <c r="L18" i="28" s="1"/>
  <c r="L17" i="28" s="1"/>
  <c r="K36" i="28"/>
  <c r="J36" i="28"/>
  <c r="I36" i="28"/>
  <c r="H36" i="28"/>
  <c r="H19" i="28" s="1"/>
  <c r="H18" i="28" s="1"/>
  <c r="H17" i="28" s="1"/>
  <c r="G36" i="28"/>
  <c r="F36" i="28"/>
  <c r="E36" i="28"/>
  <c r="D36" i="28"/>
  <c r="D19" i="28" s="1"/>
  <c r="C36" i="28"/>
  <c r="S19" i="28"/>
  <c r="R19" i="28"/>
  <c r="Q19" i="28"/>
  <c r="O19" i="28"/>
  <c r="N19" i="28"/>
  <c r="M19" i="28"/>
  <c r="K19" i="28"/>
  <c r="J19" i="28"/>
  <c r="I19" i="28"/>
  <c r="G19" i="28"/>
  <c r="F19" i="28"/>
  <c r="E19" i="28"/>
  <c r="C19" i="28"/>
  <c r="N39" i="28" l="1"/>
  <c r="N18" i="28" s="1"/>
  <c r="N17" i="28" s="1"/>
  <c r="O39" i="30"/>
  <c r="G39" i="30"/>
  <c r="G18" i="30" s="1"/>
  <c r="G17" i="30" s="1"/>
  <c r="E39" i="30"/>
  <c r="I39" i="30"/>
  <c r="I18" i="30" s="1"/>
  <c r="I17" i="30" s="1"/>
  <c r="S39" i="30"/>
  <c r="S18" i="30" s="1"/>
  <c r="S17" i="30" s="1"/>
  <c r="F39" i="30"/>
  <c r="J39" i="30"/>
  <c r="N39" i="30"/>
  <c r="N18" i="30" s="1"/>
  <c r="N17" i="30" s="1"/>
  <c r="R39" i="30"/>
  <c r="Q39" i="30"/>
  <c r="H39" i="30"/>
  <c r="H18" i="30" s="1"/>
  <c r="H17" i="30" s="1"/>
  <c r="L39" i="30"/>
  <c r="L18" i="30" s="1"/>
  <c r="L17" i="30" s="1"/>
  <c r="P39" i="30"/>
  <c r="P18" i="30" s="1"/>
  <c r="P17" i="30" s="1"/>
  <c r="E18" i="30"/>
  <c r="E17" i="30" s="1"/>
  <c r="F18" i="30"/>
  <c r="F17" i="30" s="1"/>
  <c r="C18" i="30"/>
  <c r="C17" i="30" s="1"/>
  <c r="O18" i="30"/>
  <c r="O17" i="30" s="1"/>
  <c r="M39" i="30"/>
  <c r="M18" i="30" s="1"/>
  <c r="M17" i="30" s="1"/>
  <c r="D39" i="30"/>
  <c r="D18" i="30" s="1"/>
  <c r="D17" i="30" s="1"/>
  <c r="R18" i="30"/>
  <c r="R17" i="30" s="1"/>
  <c r="Q18" i="30"/>
  <c r="Q17" i="30" s="1"/>
  <c r="J18" i="30"/>
  <c r="J17" i="30" s="1"/>
  <c r="G39" i="29"/>
  <c r="O39" i="29"/>
  <c r="O18" i="29" s="1"/>
  <c r="O17" i="29" s="1"/>
  <c r="C18" i="29"/>
  <c r="C17" i="29" s="1"/>
  <c r="G18" i="29"/>
  <c r="G17" i="29" s="1"/>
  <c r="F18" i="29"/>
  <c r="F17" i="29" s="1"/>
  <c r="K39" i="29"/>
  <c r="K18" i="29" s="1"/>
  <c r="K17" i="29" s="1"/>
  <c r="S39" i="29"/>
  <c r="S18" i="29" s="1"/>
  <c r="S17" i="29" s="1"/>
  <c r="F39" i="29"/>
  <c r="J39" i="29"/>
  <c r="N39" i="29"/>
  <c r="N18" i="29" s="1"/>
  <c r="N17" i="29" s="1"/>
  <c r="R39" i="29"/>
  <c r="R18" i="29" s="1"/>
  <c r="R17" i="29" s="1"/>
  <c r="E39" i="29"/>
  <c r="E18" i="29" s="1"/>
  <c r="E17" i="29" s="1"/>
  <c r="M39" i="29"/>
  <c r="M18" i="29" s="1"/>
  <c r="M17" i="29" s="1"/>
  <c r="I18" i="29"/>
  <c r="I17" i="29" s="1"/>
  <c r="Q18" i="29"/>
  <c r="Q17" i="29" s="1"/>
  <c r="J18" i="29"/>
  <c r="J17" i="29" s="1"/>
  <c r="D39" i="29"/>
  <c r="D18" i="29" s="1"/>
  <c r="D17" i="29" s="1"/>
  <c r="H39" i="29"/>
  <c r="H18" i="29" s="1"/>
  <c r="H17" i="29" s="1"/>
  <c r="L39" i="29"/>
  <c r="L18" i="29" s="1"/>
  <c r="L17" i="29" s="1"/>
  <c r="P39" i="29"/>
  <c r="P18" i="29" s="1"/>
  <c r="P17" i="29" s="1"/>
  <c r="I18" i="28"/>
  <c r="I17" i="28" s="1"/>
  <c r="E39" i="28"/>
  <c r="E18" i="28" s="1"/>
  <c r="E17" i="28" s="1"/>
  <c r="I39" i="28"/>
  <c r="M39" i="28"/>
  <c r="Q39" i="28"/>
  <c r="Q18" i="28"/>
  <c r="Q17" i="28" s="1"/>
  <c r="D18" i="28"/>
  <c r="D17" i="28" s="1"/>
  <c r="P18" i="28"/>
  <c r="P17" i="28" s="1"/>
  <c r="M18" i="28"/>
  <c r="M17" i="28" s="1"/>
  <c r="BC36" i="4" l="1"/>
  <c r="I16" i="4"/>
  <c r="I15" i="4" s="1"/>
  <c r="J15" i="4"/>
  <c r="K16" i="4"/>
  <c r="K15" i="4" s="1"/>
  <c r="L16" i="4"/>
  <c r="L15" i="4" s="1"/>
  <c r="M15" i="4"/>
  <c r="N16" i="4"/>
  <c r="N15" i="4" s="1"/>
  <c r="O16" i="4"/>
  <c r="O15" i="4" s="1"/>
  <c r="P16" i="4"/>
  <c r="P15" i="4" s="1"/>
  <c r="Q16" i="4"/>
  <c r="Q15" i="4" s="1"/>
  <c r="R16" i="4"/>
  <c r="R15" i="4" s="1"/>
  <c r="S16" i="4"/>
  <c r="S15" i="4" s="1"/>
  <c r="T16" i="4"/>
  <c r="T15" i="4" s="1"/>
  <c r="U16" i="4"/>
  <c r="U15" i="4" s="1"/>
  <c r="V16" i="4"/>
  <c r="V15" i="4" s="1"/>
  <c r="W16" i="4"/>
  <c r="W15" i="4" s="1"/>
  <c r="X16" i="4"/>
  <c r="X15" i="4" s="1"/>
  <c r="Y16" i="4"/>
  <c r="Y15" i="4" s="1"/>
  <c r="Z16" i="4"/>
  <c r="Z15" i="4" s="1"/>
  <c r="AA16" i="4"/>
  <c r="AA15" i="4" s="1"/>
  <c r="AD16" i="4"/>
  <c r="AD15" i="4" s="1"/>
  <c r="AE16" i="4"/>
  <c r="AE15" i="4" s="1"/>
  <c r="AF16" i="4"/>
  <c r="AF15" i="4" s="1"/>
  <c r="AG16" i="4"/>
  <c r="AG15" i="4" s="1"/>
  <c r="AH16" i="4"/>
  <c r="AH15" i="4" s="1"/>
  <c r="AI16" i="4"/>
  <c r="AI15" i="4" s="1"/>
  <c r="AJ16" i="4"/>
  <c r="AJ15" i="4" s="1"/>
  <c r="AN16" i="4"/>
  <c r="AN15" i="4" s="1"/>
  <c r="AO16" i="4"/>
  <c r="AO15" i="4" s="1"/>
  <c r="AP16" i="4"/>
  <c r="AP15" i="4" s="1"/>
  <c r="AQ16" i="4"/>
  <c r="AQ15" i="4" s="1"/>
  <c r="AR16" i="4"/>
  <c r="AR15" i="4" s="1"/>
  <c r="AS16" i="4"/>
  <c r="AS15" i="4" s="1"/>
  <c r="AT16" i="4"/>
  <c r="AT15" i="4" s="1"/>
  <c r="AU16" i="4"/>
  <c r="AU15" i="4" s="1"/>
  <c r="AX16" i="4"/>
  <c r="AX15" i="4" s="1"/>
  <c r="AY16" i="4"/>
  <c r="AY15" i="4" s="1"/>
  <c r="AZ16" i="4"/>
  <c r="AZ15" i="4" s="1"/>
  <c r="BA16" i="4"/>
  <c r="BA15" i="4" s="1"/>
  <c r="BB16" i="4"/>
  <c r="BB15" i="4" s="1"/>
  <c r="BC16" i="4"/>
  <c r="BC15" i="4" s="1"/>
  <c r="BD16" i="4"/>
  <c r="BD15" i="4" s="1"/>
  <c r="BE16" i="4"/>
  <c r="BE15" i="4" s="1"/>
  <c r="BG16" i="4"/>
  <c r="BG15" i="4" s="1"/>
  <c r="BH16" i="4"/>
  <c r="BH15" i="4" s="1"/>
  <c r="BI16" i="4"/>
  <c r="BI15" i="4" s="1"/>
  <c r="BJ16" i="4"/>
  <c r="BJ15" i="4" s="1"/>
  <c r="BK16" i="4"/>
  <c r="BK15" i="4" s="1"/>
  <c r="BL16" i="4"/>
  <c r="BL15" i="4" s="1"/>
  <c r="BM16" i="4"/>
  <c r="BM15" i="4" s="1"/>
  <c r="BN16" i="4"/>
  <c r="BN15" i="4" s="1"/>
  <c r="BR16" i="4"/>
  <c r="BR15" i="4" s="1"/>
  <c r="BS16" i="4"/>
  <c r="BS15" i="4" s="1"/>
  <c r="BT16" i="4"/>
  <c r="BT15" i="4" s="1"/>
  <c r="BU16" i="4"/>
  <c r="BU15" i="4" s="1"/>
  <c r="BV16" i="4"/>
  <c r="BV15" i="4" s="1"/>
  <c r="CB16" i="4"/>
  <c r="CB15" i="4" s="1"/>
  <c r="CC16" i="4"/>
  <c r="CC15" i="4" s="1"/>
  <c r="CD16" i="4"/>
  <c r="CD15" i="4" s="1"/>
  <c r="CE16" i="4"/>
  <c r="CE15" i="4" s="1"/>
  <c r="CF16" i="4"/>
  <c r="CF15" i="4" s="1"/>
  <c r="H15" i="4"/>
  <c r="H16" i="4"/>
  <c r="I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D36" i="4"/>
  <c r="AE36" i="4"/>
  <c r="AF36" i="4"/>
  <c r="AG36" i="4"/>
  <c r="AH36" i="4"/>
  <c r="AI36" i="4"/>
  <c r="AJ36" i="4"/>
  <c r="AN36" i="4"/>
  <c r="AO36" i="4"/>
  <c r="AP36" i="4"/>
  <c r="AQ36" i="4"/>
  <c r="AR36" i="4"/>
  <c r="AS36" i="4"/>
  <c r="AT36" i="4"/>
  <c r="AU36" i="4"/>
  <c r="AW36" i="4"/>
  <c r="AX36" i="4"/>
  <c r="AY36" i="4"/>
  <c r="AZ36" i="4"/>
  <c r="BA36" i="4"/>
  <c r="BB36" i="4"/>
  <c r="BD36" i="4"/>
  <c r="BE36" i="4"/>
  <c r="BG36" i="4"/>
  <c r="BH36" i="4"/>
  <c r="BI36" i="4"/>
  <c r="BJ36" i="4"/>
  <c r="BK36" i="4"/>
  <c r="BL36" i="4"/>
  <c r="BM36" i="4"/>
  <c r="BN36" i="4"/>
  <c r="BR36" i="4"/>
  <c r="BS36" i="4"/>
  <c r="BT36" i="4"/>
  <c r="BU36" i="4"/>
  <c r="BV36" i="4"/>
  <c r="CB36" i="4"/>
  <c r="CC36" i="4"/>
  <c r="CD36" i="4"/>
  <c r="CE36" i="4"/>
  <c r="CF36" i="4"/>
  <c r="H36" i="4"/>
  <c r="Q38" i="4"/>
  <c r="Q37" i="4" s="1"/>
  <c r="R38" i="4"/>
  <c r="S38" i="4"/>
  <c r="T38" i="4"/>
  <c r="T37" i="4" s="1"/>
  <c r="U38" i="4"/>
  <c r="U37" i="4" s="1"/>
  <c r="V38" i="4"/>
  <c r="W38" i="4"/>
  <c r="X38" i="4"/>
  <c r="X37" i="4" s="1"/>
  <c r="Y38" i="4"/>
  <c r="Y37" i="4" s="1"/>
  <c r="Z38" i="4"/>
  <c r="AA38" i="4"/>
  <c r="AB38" i="4"/>
  <c r="AB37" i="4" s="1"/>
  <c r="AC38" i="4"/>
  <c r="AC37" i="4" s="1"/>
  <c r="AD38" i="4"/>
  <c r="AE38" i="4"/>
  <c r="AF38" i="4"/>
  <c r="AF37" i="4" s="1"/>
  <c r="AG38" i="4"/>
  <c r="AG37" i="4" s="1"/>
  <c r="AH38" i="4"/>
  <c r="AH37" i="4" s="1"/>
  <c r="AI38" i="4"/>
  <c r="AJ38" i="4"/>
  <c r="AJ37" i="4" s="1"/>
  <c r="AK38" i="4"/>
  <c r="AK37" i="4" s="1"/>
  <c r="AL38" i="4"/>
  <c r="AL37" i="4" s="1"/>
  <c r="AM38" i="4"/>
  <c r="AN38" i="4"/>
  <c r="AN37" i="4" s="1"/>
  <c r="AO38" i="4"/>
  <c r="AO37" i="4" s="1"/>
  <c r="AP38" i="4"/>
  <c r="AQ38" i="4"/>
  <c r="AR38" i="4"/>
  <c r="AS38" i="4"/>
  <c r="AS37" i="4" s="1"/>
  <c r="AT38" i="4"/>
  <c r="AT37" i="4" s="1"/>
  <c r="AU38" i="4"/>
  <c r="AV38" i="4"/>
  <c r="AW38" i="4"/>
  <c r="AW37" i="4" s="1"/>
  <c r="AX38" i="4"/>
  <c r="AX37" i="4" s="1"/>
  <c r="AY38" i="4"/>
  <c r="AZ38" i="4"/>
  <c r="BA38" i="4"/>
  <c r="BA37" i="4" s="1"/>
  <c r="BB38" i="4"/>
  <c r="BB37" i="4" s="1"/>
  <c r="BC38" i="4"/>
  <c r="BD38" i="4"/>
  <c r="BE38" i="4"/>
  <c r="BE37" i="4" s="1"/>
  <c r="BF38" i="4"/>
  <c r="BF37" i="4" s="1"/>
  <c r="BG38" i="4"/>
  <c r="BH38" i="4"/>
  <c r="BI38" i="4"/>
  <c r="BI37" i="4" s="1"/>
  <c r="BJ38" i="4"/>
  <c r="BJ37" i="4" s="1"/>
  <c r="BK38" i="4"/>
  <c r="BL38" i="4"/>
  <c r="BM38" i="4"/>
  <c r="BM37" i="4" s="1"/>
  <c r="BN38" i="4"/>
  <c r="BN37" i="4" s="1"/>
  <c r="BO38" i="4"/>
  <c r="BO37" i="4" s="1"/>
  <c r="BO36" i="4" s="1"/>
  <c r="BO16" i="4" s="1"/>
  <c r="BO15" i="4" s="1"/>
  <c r="BP38" i="4"/>
  <c r="BQ38" i="4"/>
  <c r="BQ37" i="4" s="1"/>
  <c r="BQ36" i="4" s="1"/>
  <c r="BQ16" i="4" s="1"/>
  <c r="BQ15" i="4" s="1"/>
  <c r="BR38" i="4"/>
  <c r="BR37" i="4" s="1"/>
  <c r="BS38" i="4"/>
  <c r="BT38" i="4"/>
  <c r="BU38" i="4"/>
  <c r="BU37" i="4" s="1"/>
  <c r="BV38" i="4"/>
  <c r="BV37" i="4" s="1"/>
  <c r="BW38" i="4"/>
  <c r="BX38" i="4"/>
  <c r="BY38" i="4"/>
  <c r="BY37" i="4" s="1"/>
  <c r="BZ38" i="4"/>
  <c r="BZ37" i="4" s="1"/>
  <c r="CB38" i="4"/>
  <c r="CC38" i="4"/>
  <c r="CC37" i="4" s="1"/>
  <c r="CD38" i="4"/>
  <c r="CD37" i="4" s="1"/>
  <c r="CE38" i="4"/>
  <c r="CF38" i="4"/>
  <c r="Q44" i="4"/>
  <c r="R44" i="4"/>
  <c r="R43" i="4" s="1"/>
  <c r="S44" i="4"/>
  <c r="T44" i="4"/>
  <c r="T43" i="4" s="1"/>
  <c r="U44" i="4"/>
  <c r="V44" i="4"/>
  <c r="V43" i="4" s="1"/>
  <c r="W44" i="4"/>
  <c r="X44" i="4"/>
  <c r="X43" i="4" s="1"/>
  <c r="Y44" i="4"/>
  <c r="Z44" i="4"/>
  <c r="Z43" i="4" s="1"/>
  <c r="AA44" i="4"/>
  <c r="AB44" i="4"/>
  <c r="AB43" i="4" s="1"/>
  <c r="AC44" i="4"/>
  <c r="AD44" i="4"/>
  <c r="AD43" i="4" s="1"/>
  <c r="AE44" i="4"/>
  <c r="AF44" i="4"/>
  <c r="AF43" i="4" s="1"/>
  <c r="AG44" i="4"/>
  <c r="AH44" i="4"/>
  <c r="AH43" i="4" s="1"/>
  <c r="AI44" i="4"/>
  <c r="AJ44" i="4"/>
  <c r="AJ43" i="4" s="1"/>
  <c r="AK44" i="4"/>
  <c r="AK43" i="4" s="1"/>
  <c r="AK36" i="4" s="1"/>
  <c r="AK16" i="4" s="1"/>
  <c r="AK15" i="4" s="1"/>
  <c r="AL44" i="4"/>
  <c r="AL43" i="4" s="1"/>
  <c r="AM44" i="4"/>
  <c r="AM43" i="4" s="1"/>
  <c r="AM36" i="4" s="1"/>
  <c r="AM16" i="4" s="1"/>
  <c r="AM15" i="4" s="1"/>
  <c r="AN44" i="4"/>
  <c r="AN43" i="4" s="1"/>
  <c r="AO44" i="4"/>
  <c r="AP44" i="4"/>
  <c r="AP43" i="4" s="1"/>
  <c r="AQ44" i="4"/>
  <c r="AR44" i="4"/>
  <c r="AR43" i="4" s="1"/>
  <c r="AS44" i="4"/>
  <c r="AT44" i="4"/>
  <c r="AT43" i="4" s="1"/>
  <c r="AU44" i="4"/>
  <c r="AV44" i="4"/>
  <c r="AV43" i="4" s="1"/>
  <c r="AW44" i="4"/>
  <c r="AX44" i="4"/>
  <c r="AX43" i="4" s="1"/>
  <c r="AY44" i="4"/>
  <c r="AZ44" i="4"/>
  <c r="AZ43" i="4" s="1"/>
  <c r="BA44" i="4"/>
  <c r="BB44" i="4"/>
  <c r="BB43" i="4" s="1"/>
  <c r="BC44" i="4"/>
  <c r="BD44" i="4"/>
  <c r="BD43" i="4" s="1"/>
  <c r="BE44" i="4"/>
  <c r="BF44" i="4"/>
  <c r="BF43" i="4" s="1"/>
  <c r="BG44" i="4"/>
  <c r="BH44" i="4"/>
  <c r="BH43" i="4" s="1"/>
  <c r="BI44" i="4"/>
  <c r="BJ44" i="4"/>
  <c r="BJ43" i="4" s="1"/>
  <c r="BK44" i="4"/>
  <c r="BL44" i="4"/>
  <c r="BL43" i="4" s="1"/>
  <c r="BM44" i="4"/>
  <c r="BN44" i="4"/>
  <c r="BN43" i="4" s="1"/>
  <c r="BO44" i="4"/>
  <c r="BP44" i="4"/>
  <c r="BP43" i="4" s="1"/>
  <c r="BQ44" i="4"/>
  <c r="BR44" i="4"/>
  <c r="BR43" i="4" s="1"/>
  <c r="BS44" i="4"/>
  <c r="BT44" i="4"/>
  <c r="BT43" i="4" s="1"/>
  <c r="BU44" i="4"/>
  <c r="BV44" i="4"/>
  <c r="BV43" i="4" s="1"/>
  <c r="BW44" i="4"/>
  <c r="BX44" i="4"/>
  <c r="BX43" i="4" s="1"/>
  <c r="CB44" i="4"/>
  <c r="CB43" i="4" s="1"/>
  <c r="CC44" i="4"/>
  <c r="CD44" i="4"/>
  <c r="CD43" i="4" s="1"/>
  <c r="CE44" i="4"/>
  <c r="CF44" i="4"/>
  <c r="CF43" i="4" s="1"/>
  <c r="J51" i="4"/>
  <c r="K51" i="4"/>
  <c r="L51" i="4"/>
  <c r="L50" i="4" s="1"/>
  <c r="M51" i="4"/>
  <c r="N51" i="4"/>
  <c r="O51" i="4"/>
  <c r="P51" i="4"/>
  <c r="P50" i="4" s="1"/>
  <c r="Q51" i="4"/>
  <c r="R51" i="4"/>
  <c r="S51" i="4"/>
  <c r="T51" i="4"/>
  <c r="T50" i="4" s="1"/>
  <c r="U51" i="4"/>
  <c r="V51" i="4"/>
  <c r="W51" i="4"/>
  <c r="X51" i="4"/>
  <c r="X50" i="4" s="1"/>
  <c r="Y51" i="4"/>
  <c r="Z51" i="4"/>
  <c r="AA51" i="4"/>
  <c r="AB51" i="4"/>
  <c r="AB50" i="4" s="1"/>
  <c r="AB36" i="4" s="1"/>
  <c r="AB16" i="4" s="1"/>
  <c r="AB15" i="4" s="1"/>
  <c r="AC51" i="4"/>
  <c r="AC50" i="4" s="1"/>
  <c r="AD51" i="4"/>
  <c r="AE51" i="4"/>
  <c r="AF51" i="4"/>
  <c r="AF50" i="4" s="1"/>
  <c r="AG51" i="4"/>
  <c r="AH51" i="4"/>
  <c r="AI51" i="4"/>
  <c r="AJ51" i="4"/>
  <c r="AJ50" i="4" s="1"/>
  <c r="AK51" i="4"/>
  <c r="AL51" i="4"/>
  <c r="AL50" i="4" s="1"/>
  <c r="AM51" i="4"/>
  <c r="AN51" i="4"/>
  <c r="AN50" i="4" s="1"/>
  <c r="AO51" i="4"/>
  <c r="AP51" i="4"/>
  <c r="AQ51" i="4"/>
  <c r="AR51" i="4"/>
  <c r="AR50" i="4" s="1"/>
  <c r="AS51" i="4"/>
  <c r="AT51" i="4"/>
  <c r="AU51" i="4"/>
  <c r="AV51" i="4"/>
  <c r="AV50" i="4" s="1"/>
  <c r="AV36" i="4" s="1"/>
  <c r="AW51" i="4"/>
  <c r="AX51" i="4"/>
  <c r="AY51" i="4"/>
  <c r="AZ51" i="4"/>
  <c r="AZ50" i="4" s="1"/>
  <c r="BA51" i="4"/>
  <c r="BB51" i="4"/>
  <c r="BC51" i="4"/>
  <c r="BD51" i="4"/>
  <c r="BD50" i="4" s="1"/>
  <c r="BE51" i="4"/>
  <c r="BF51" i="4"/>
  <c r="BF50" i="4" s="1"/>
  <c r="BF36" i="4" s="1"/>
  <c r="BF16" i="4" s="1"/>
  <c r="BF15" i="4" s="1"/>
  <c r="BG51" i="4"/>
  <c r="BH51" i="4"/>
  <c r="BH50" i="4" s="1"/>
  <c r="BI51" i="4"/>
  <c r="BJ51" i="4"/>
  <c r="BK51" i="4"/>
  <c r="BL51" i="4"/>
  <c r="BL50" i="4" s="1"/>
  <c r="BM51" i="4"/>
  <c r="BN51" i="4"/>
  <c r="BO51" i="4"/>
  <c r="BP51" i="4"/>
  <c r="BP50" i="4" s="1"/>
  <c r="BQ51" i="4"/>
  <c r="BR51" i="4"/>
  <c r="BS51" i="4"/>
  <c r="BT51" i="4"/>
  <c r="BT50" i="4" s="1"/>
  <c r="BU51" i="4"/>
  <c r="BV51" i="4"/>
  <c r="BW51" i="4"/>
  <c r="BX51" i="4"/>
  <c r="BX50" i="4" s="1"/>
  <c r="BY51" i="4"/>
  <c r="BZ51" i="4"/>
  <c r="BZ50" i="4" s="1"/>
  <c r="CA51" i="4"/>
  <c r="CB51" i="4"/>
  <c r="CB50" i="4" s="1"/>
  <c r="CC51" i="4"/>
  <c r="CD51" i="4"/>
  <c r="CE51" i="4"/>
  <c r="CF51" i="4"/>
  <c r="CF50" i="4" s="1"/>
  <c r="I38" i="4"/>
  <c r="K38" i="4"/>
  <c r="L38" i="4"/>
  <c r="M38" i="4"/>
  <c r="N38" i="4"/>
  <c r="O38" i="4"/>
  <c r="P38" i="4"/>
  <c r="AQ37" i="4"/>
  <c r="I37" i="4"/>
  <c r="J37" i="4"/>
  <c r="K37" i="4"/>
  <c r="L37" i="4"/>
  <c r="M37" i="4"/>
  <c r="N37" i="4"/>
  <c r="O37" i="4"/>
  <c r="P37" i="4"/>
  <c r="R37" i="4"/>
  <c r="S37" i="4"/>
  <c r="V37" i="4"/>
  <c r="W37" i="4"/>
  <c r="Z37" i="4"/>
  <c r="AA37" i="4"/>
  <c r="AD37" i="4"/>
  <c r="AE37" i="4"/>
  <c r="AI37" i="4"/>
  <c r="AM37" i="4"/>
  <c r="AP37" i="4"/>
  <c r="AR37" i="4"/>
  <c r="AU37" i="4"/>
  <c r="AV37" i="4"/>
  <c r="AY37" i="4"/>
  <c r="AZ37" i="4"/>
  <c r="BC37" i="4"/>
  <c r="BD37" i="4"/>
  <c r="BG37" i="4"/>
  <c r="BH37" i="4"/>
  <c r="BK37" i="4"/>
  <c r="BL37" i="4"/>
  <c r="BP37" i="4"/>
  <c r="BS37" i="4"/>
  <c r="BT37" i="4"/>
  <c r="BW37" i="4"/>
  <c r="BX37" i="4"/>
  <c r="CB37" i="4"/>
  <c r="CE37" i="4"/>
  <c r="CF37" i="4"/>
  <c r="H37" i="4"/>
  <c r="I43" i="4"/>
  <c r="J43" i="4"/>
  <c r="K43" i="4"/>
  <c r="L43" i="4"/>
  <c r="M43" i="4"/>
  <c r="N43" i="4"/>
  <c r="O43" i="4"/>
  <c r="P43" i="4"/>
  <c r="Q43" i="4"/>
  <c r="S43" i="4"/>
  <c r="U43" i="4"/>
  <c r="W43" i="4"/>
  <c r="Y43" i="4"/>
  <c r="AA43" i="4"/>
  <c r="AC43" i="4"/>
  <c r="AE43" i="4"/>
  <c r="AG43" i="4"/>
  <c r="AI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BO43" i="4"/>
  <c r="BQ43" i="4"/>
  <c r="BS43" i="4"/>
  <c r="BU43" i="4"/>
  <c r="BW43" i="4"/>
  <c r="BW36" i="4" s="1"/>
  <c r="BW16" i="4" s="1"/>
  <c r="BW15" i="4" s="1"/>
  <c r="CC43" i="4"/>
  <c r="CE43" i="4"/>
  <c r="H43" i="4"/>
  <c r="I50" i="4"/>
  <c r="J50" i="4"/>
  <c r="K50" i="4"/>
  <c r="M50" i="4"/>
  <c r="N50" i="4"/>
  <c r="O50" i="4"/>
  <c r="Q50" i="4"/>
  <c r="R50" i="4"/>
  <c r="S50" i="4"/>
  <c r="U50" i="4"/>
  <c r="V50" i="4"/>
  <c r="W50" i="4"/>
  <c r="Y50" i="4"/>
  <c r="Z50" i="4"/>
  <c r="AA50" i="4"/>
  <c r="AD50" i="4"/>
  <c r="AE50" i="4"/>
  <c r="AG50" i="4"/>
  <c r="AH50" i="4"/>
  <c r="AI50" i="4"/>
  <c r="AK50" i="4"/>
  <c r="AM50" i="4"/>
  <c r="AO50" i="4"/>
  <c r="AP50" i="4"/>
  <c r="AQ50" i="4"/>
  <c r="AS50" i="4"/>
  <c r="AT50" i="4"/>
  <c r="AU50" i="4"/>
  <c r="AW50" i="4"/>
  <c r="AX50" i="4"/>
  <c r="AY50" i="4"/>
  <c r="BA50" i="4"/>
  <c r="BB50" i="4"/>
  <c r="BC50" i="4"/>
  <c r="BE50" i="4"/>
  <c r="BG50" i="4"/>
  <c r="BI50" i="4"/>
  <c r="BJ50" i="4"/>
  <c r="BK50" i="4"/>
  <c r="BM50" i="4"/>
  <c r="BN50" i="4"/>
  <c r="BO50" i="4"/>
  <c r="BQ50" i="4"/>
  <c r="BR50" i="4"/>
  <c r="BS50" i="4"/>
  <c r="BU50" i="4"/>
  <c r="BV50" i="4"/>
  <c r="BW50" i="4"/>
  <c r="BY50" i="4"/>
  <c r="CA50" i="4"/>
  <c r="CC50" i="4"/>
  <c r="CD50" i="4"/>
  <c r="CE50" i="4"/>
  <c r="H50" i="4"/>
  <c r="BW73" i="4"/>
  <c r="BW72" i="4"/>
  <c r="BM73" i="4"/>
  <c r="BM72" i="4"/>
  <c r="BM71" i="4" s="1"/>
  <c r="BC73" i="4"/>
  <c r="BC72" i="4"/>
  <c r="AT71" i="4"/>
  <c r="AU71" i="4"/>
  <c r="AV71" i="4"/>
  <c r="AW71" i="4"/>
  <c r="AW16" i="4" s="1"/>
  <c r="AW15" i="4" s="1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S73" i="4"/>
  <c r="AS72" i="4"/>
  <c r="AI73" i="4"/>
  <c r="AI72" i="4"/>
  <c r="Y73" i="4"/>
  <c r="Y72" i="4"/>
  <c r="R71" i="4"/>
  <c r="S71" i="4"/>
  <c r="T71" i="4"/>
  <c r="U71" i="4"/>
  <c r="V71" i="4"/>
  <c r="W71" i="4"/>
  <c r="X71" i="4"/>
  <c r="T73" i="4"/>
  <c r="T72" i="4"/>
  <c r="Q71" i="4"/>
  <c r="P71" i="4"/>
  <c r="Q73" i="4"/>
  <c r="Q72" i="4"/>
  <c r="P73" i="4"/>
  <c r="P72" i="4"/>
  <c r="I71" i="4"/>
  <c r="H71" i="4"/>
  <c r="I73" i="4"/>
  <c r="I72" i="4"/>
  <c r="CE73" i="4"/>
  <c r="CD73" i="4"/>
  <c r="CC73" i="4"/>
  <c r="CF73" i="4"/>
  <c r="R73" i="4"/>
  <c r="U73" i="4" s="1"/>
  <c r="AN73" i="4" s="1"/>
  <c r="CB73" i="4" s="1"/>
  <c r="H38" i="4"/>
  <c r="Q41" i="4"/>
  <c r="CF41" i="4"/>
  <c r="BC41" i="4"/>
  <c r="AS41" i="4"/>
  <c r="AI41" i="4"/>
  <c r="AL41" i="4" s="1"/>
  <c r="Y41" i="4"/>
  <c r="R41" i="4"/>
  <c r="S41" i="4" s="1"/>
  <c r="U41" i="4" s="1"/>
  <c r="AQ41" i="4" s="1"/>
  <c r="P41" i="4"/>
  <c r="I41" i="4"/>
  <c r="BM55" i="4"/>
  <c r="BM54" i="4"/>
  <c r="BM53" i="4"/>
  <c r="BM52" i="4"/>
  <c r="BC56" i="4"/>
  <c r="BC54" i="4"/>
  <c r="BC53" i="4"/>
  <c r="BC52" i="4"/>
  <c r="AS56" i="4"/>
  <c r="AS55" i="4"/>
  <c r="AS53" i="4"/>
  <c r="AS52" i="4"/>
  <c r="AI56" i="4"/>
  <c r="AI55" i="4"/>
  <c r="AI54" i="4"/>
  <c r="AI52" i="4"/>
  <c r="Y56" i="4"/>
  <c r="Y55" i="4"/>
  <c r="Y54" i="4"/>
  <c r="Y53" i="4"/>
  <c r="Q55" i="4"/>
  <c r="T55" i="4" s="1"/>
  <c r="BC55" i="4" s="1"/>
  <c r="P39" i="4"/>
  <c r="P40" i="4"/>
  <c r="P53" i="4"/>
  <c r="Q53" i="4" s="1"/>
  <c r="T53" i="4" s="1"/>
  <c r="AI53" i="4" s="1"/>
  <c r="P54" i="4"/>
  <c r="Q54" i="4" s="1"/>
  <c r="T54" i="4" s="1"/>
  <c r="AS54" i="4" s="1"/>
  <c r="P55" i="4"/>
  <c r="P56" i="4"/>
  <c r="Q56" i="4" s="1"/>
  <c r="T56" i="4" s="1"/>
  <c r="BM56" i="4" s="1"/>
  <c r="P52" i="4"/>
  <c r="Q52" i="4" s="1"/>
  <c r="T52" i="4" s="1"/>
  <c r="P45" i="4"/>
  <c r="H51" i="4"/>
  <c r="I53" i="4"/>
  <c r="I54" i="4"/>
  <c r="I55" i="4"/>
  <c r="I56" i="4"/>
  <c r="I52" i="4"/>
  <c r="I51" i="4" s="1"/>
  <c r="BM40" i="4"/>
  <c r="BM39" i="4"/>
  <c r="BC39" i="4"/>
  <c r="AS39" i="4"/>
  <c r="AS40" i="4"/>
  <c r="AI39" i="4"/>
  <c r="AI40" i="4"/>
  <c r="Y40" i="4"/>
  <c r="Q40" i="4"/>
  <c r="T40" i="4" s="1"/>
  <c r="BC40" i="4" s="1"/>
  <c r="I40" i="4"/>
  <c r="I39" i="4"/>
  <c r="BM46" i="4"/>
  <c r="BM47" i="4"/>
  <c r="BM48" i="4"/>
  <c r="BV48" i="4" s="1"/>
  <c r="BR48" i="4" s="1"/>
  <c r="BM45" i="4"/>
  <c r="BC46" i="4"/>
  <c r="BC47" i="4"/>
  <c r="BC45" i="4"/>
  <c r="AS48" i="4"/>
  <c r="AS45" i="4"/>
  <c r="AI46" i="4"/>
  <c r="AI47" i="4"/>
  <c r="AI48" i="4"/>
  <c r="Y46" i="4"/>
  <c r="Y47" i="4"/>
  <c r="Y48" i="4"/>
  <c r="Y45" i="4"/>
  <c r="BL60" i="4"/>
  <c r="BK60" i="4"/>
  <c r="BJ60" i="4"/>
  <c r="BI60" i="4"/>
  <c r="BH60" i="4"/>
  <c r="BG60" i="4"/>
  <c r="BF60" i="4"/>
  <c r="BE60" i="4"/>
  <c r="BD60" i="4"/>
  <c r="BC60" i="4"/>
  <c r="BH48" i="4"/>
  <c r="BL47" i="4"/>
  <c r="BH47" i="4"/>
  <c r="BH46" i="4"/>
  <c r="BK46" i="4" s="1"/>
  <c r="BL17" i="4"/>
  <c r="BK17" i="4"/>
  <c r="BI17" i="4"/>
  <c r="BG17" i="4"/>
  <c r="BD17" i="4"/>
  <c r="BC17" i="4"/>
  <c r="BJ17" i="4"/>
  <c r="BH17" i="4"/>
  <c r="BF17" i="4"/>
  <c r="BE17" i="4"/>
  <c r="BV60" i="4"/>
  <c r="BU60" i="4"/>
  <c r="BT60" i="4"/>
  <c r="BS60" i="4"/>
  <c r="BR60" i="4"/>
  <c r="BQ60" i="4"/>
  <c r="BP60" i="4"/>
  <c r="BO60" i="4"/>
  <c r="BN60" i="4"/>
  <c r="BM60" i="4"/>
  <c r="BR47" i="4"/>
  <c r="BV47" i="4" s="1"/>
  <c r="BR46" i="4"/>
  <c r="BU46" i="4" s="1"/>
  <c r="BU17" i="4"/>
  <c r="BT17" i="4"/>
  <c r="BS17" i="4"/>
  <c r="BP17" i="4"/>
  <c r="BO17" i="4"/>
  <c r="BM17" i="4"/>
  <c r="BV17" i="4"/>
  <c r="BR17" i="4"/>
  <c r="BQ17" i="4"/>
  <c r="BN17" i="4"/>
  <c r="R48" i="4"/>
  <c r="S48" i="4" s="1"/>
  <c r="R45" i="4"/>
  <c r="S45" i="4" s="1"/>
  <c r="R46" i="4"/>
  <c r="S46" i="4" s="1"/>
  <c r="R47" i="4"/>
  <c r="S47" i="4" s="1"/>
  <c r="Q46" i="4"/>
  <c r="T46" i="4" s="1"/>
  <c r="AS46" i="4" s="1"/>
  <c r="P46" i="4"/>
  <c r="P47" i="4"/>
  <c r="Q47" i="4" s="1"/>
  <c r="T47" i="4" s="1"/>
  <c r="AS47" i="4" s="1"/>
  <c r="P48" i="4"/>
  <c r="Q48" i="4" s="1"/>
  <c r="T48" i="4" s="1"/>
  <c r="BC48" i="4" s="1"/>
  <c r="Q45" i="4"/>
  <c r="T45" i="4" s="1"/>
  <c r="AI45" i="4" s="1"/>
  <c r="I46" i="4"/>
  <c r="I47" i="4"/>
  <c r="I48" i="4"/>
  <c r="I45" i="4"/>
  <c r="H44" i="4"/>
  <c r="BX36" i="4" l="1"/>
  <c r="BX16" i="4" s="1"/>
  <c r="BX15" i="4" s="1"/>
  <c r="BP36" i="4"/>
  <c r="BP16" i="4" s="1"/>
  <c r="BP15" i="4" s="1"/>
  <c r="AV16" i="4"/>
  <c r="AV15" i="4" s="1"/>
  <c r="AL36" i="4"/>
  <c r="AL16" i="4" s="1"/>
  <c r="AL15" i="4" s="1"/>
  <c r="AC36" i="4"/>
  <c r="AC16" i="4" s="1"/>
  <c r="AC15" i="4" s="1"/>
  <c r="AL73" i="4"/>
  <c r="T41" i="4"/>
  <c r="BM41" i="4" s="1"/>
  <c r="BW41" i="4" s="1"/>
  <c r="BW55" i="4"/>
  <c r="BW56" i="4"/>
  <c r="Y52" i="4"/>
  <c r="BW53" i="4"/>
  <c r="CE41" i="4"/>
  <c r="CB41" i="4" s="1"/>
  <c r="AN41" i="4"/>
  <c r="BW54" i="4"/>
  <c r="BW45" i="4"/>
  <c r="BW46" i="4"/>
  <c r="BW52" i="4" l="1"/>
  <c r="Q39" i="4"/>
  <c r="BX45" i="4"/>
  <c r="BY44" i="4"/>
  <c r="BY43" i="4" s="1"/>
  <c r="BY36" i="4" s="1"/>
  <c r="BY16" i="4" s="1"/>
  <c r="BY15" i="4" s="1"/>
  <c r="CA45" i="4"/>
  <c r="CA44" i="4" s="1"/>
  <c r="CA43" i="4" s="1"/>
  <c r="T39" i="4" l="1"/>
  <c r="I45" i="20"/>
  <c r="CE48" i="4"/>
  <c r="Y39" i="4" l="1"/>
  <c r="BW39" i="4" l="1"/>
  <c r="DR45" i="15" l="1"/>
  <c r="DR44" i="15" s="1"/>
  <c r="DR37" i="15" s="1"/>
  <c r="DR17" i="15" s="1"/>
  <c r="DR16" i="15" s="1"/>
  <c r="BG74" i="15"/>
  <c r="BG72" i="15" s="1"/>
  <c r="CC72" i="4"/>
  <c r="CD72" i="4"/>
  <c r="CE72" i="4"/>
  <c r="CF72" i="4"/>
  <c r="CY75" i="10"/>
  <c r="CX75" i="10"/>
  <c r="CY47" i="10"/>
  <c r="AL47" i="10"/>
  <c r="CX47" i="10" s="1"/>
  <c r="AF40" i="8"/>
  <c r="I39" i="8"/>
  <c r="CA38" i="4"/>
  <c r="CA37" i="4" s="1"/>
  <c r="CA36" i="4" s="1"/>
  <c r="CA16" i="4" s="1"/>
  <c r="CA15" i="4" s="1"/>
  <c r="BZ45" i="4" l="1"/>
  <c r="BZ44" i="4" s="1"/>
  <c r="BZ43" i="4" s="1"/>
  <c r="BZ36" i="4" s="1"/>
  <c r="BZ16" i="4" s="1"/>
  <c r="BZ15" i="4" s="1"/>
  <c r="O42" i="20"/>
  <c r="DE47" i="15"/>
  <c r="DU47" i="15" s="1"/>
  <c r="DG47" i="15"/>
  <c r="DW47" i="15" s="1"/>
  <c r="DH47" i="15"/>
  <c r="DX47" i="15" s="1"/>
  <c r="DI47" i="15"/>
  <c r="DY47" i="15" s="1"/>
  <c r="DJ47" i="15"/>
  <c r="DZ47" i="15" s="1"/>
  <c r="DK47" i="15"/>
  <c r="EA47" i="15" s="1"/>
  <c r="DE48" i="15"/>
  <c r="DG48" i="15"/>
  <c r="DW48" i="15" s="1"/>
  <c r="DH48" i="15"/>
  <c r="DX48" i="15" s="1"/>
  <c r="DI48" i="15"/>
  <c r="DJ48" i="15"/>
  <c r="DZ48" i="15" s="1"/>
  <c r="DK48" i="15"/>
  <c r="EA48" i="15" s="1"/>
  <c r="E45" i="15"/>
  <c r="E44" i="15" s="1"/>
  <c r="E37" i="15" s="1"/>
  <c r="E17" i="15" s="1"/>
  <c r="E16" i="15" s="1"/>
  <c r="F45" i="15"/>
  <c r="F44" i="15" s="1"/>
  <c r="F37" i="15" s="1"/>
  <c r="F17" i="15" s="1"/>
  <c r="F16" i="15" s="1"/>
  <c r="G45" i="15"/>
  <c r="G44" i="15" s="1"/>
  <c r="G37" i="15" s="1"/>
  <c r="G17" i="15" s="1"/>
  <c r="G16" i="15" s="1"/>
  <c r="H45" i="15"/>
  <c r="H44" i="15" s="1"/>
  <c r="H37" i="15" s="1"/>
  <c r="H17" i="15" s="1"/>
  <c r="H16" i="15" s="1"/>
  <c r="I45" i="15"/>
  <c r="I44" i="15" s="1"/>
  <c r="I37" i="15" s="1"/>
  <c r="I17" i="15" s="1"/>
  <c r="I16" i="15" s="1"/>
  <c r="J45" i="15"/>
  <c r="J44" i="15" s="1"/>
  <c r="J37" i="15" s="1"/>
  <c r="J17" i="15" s="1"/>
  <c r="J16" i="15" s="1"/>
  <c r="K45" i="15"/>
  <c r="K44" i="15" s="1"/>
  <c r="K37" i="15" s="1"/>
  <c r="K17" i="15" s="1"/>
  <c r="K16" i="15" s="1"/>
  <c r="M45" i="15"/>
  <c r="M44" i="15" s="1"/>
  <c r="M37" i="15" s="1"/>
  <c r="M17" i="15" s="1"/>
  <c r="M16" i="15" s="1"/>
  <c r="O45" i="15"/>
  <c r="O44" i="15" s="1"/>
  <c r="O37" i="15" s="1"/>
  <c r="O17" i="15" s="1"/>
  <c r="O16" i="15" s="1"/>
  <c r="P45" i="15"/>
  <c r="P44" i="15" s="1"/>
  <c r="P37" i="15" s="1"/>
  <c r="P17" i="15" s="1"/>
  <c r="P16" i="15" s="1"/>
  <c r="Q45" i="15"/>
  <c r="Q44" i="15" s="1"/>
  <c r="Q37" i="15" s="1"/>
  <c r="Q17" i="15" s="1"/>
  <c r="Q16" i="15" s="1"/>
  <c r="R45" i="15"/>
  <c r="R44" i="15" s="1"/>
  <c r="R37" i="15" s="1"/>
  <c r="R17" i="15" s="1"/>
  <c r="R16" i="15" s="1"/>
  <c r="S45" i="15"/>
  <c r="S44" i="15" s="1"/>
  <c r="S37" i="15" s="1"/>
  <c r="S17" i="15" s="1"/>
  <c r="S16" i="15" s="1"/>
  <c r="T45" i="15"/>
  <c r="T44" i="15" s="1"/>
  <c r="T37" i="15" s="1"/>
  <c r="T17" i="15" s="1"/>
  <c r="T16" i="15" s="1"/>
  <c r="U45" i="15"/>
  <c r="U44" i="15" s="1"/>
  <c r="U37" i="15" s="1"/>
  <c r="U17" i="15" s="1"/>
  <c r="U16" i="15" s="1"/>
  <c r="V45" i="15"/>
  <c r="V44" i="15" s="1"/>
  <c r="V37" i="15" s="1"/>
  <c r="V17" i="15" s="1"/>
  <c r="V16" i="15" s="1"/>
  <c r="W45" i="15"/>
  <c r="W44" i="15" s="1"/>
  <c r="W37" i="15" s="1"/>
  <c r="W17" i="15" s="1"/>
  <c r="W16" i="15" s="1"/>
  <c r="X45" i="15"/>
  <c r="X44" i="15" s="1"/>
  <c r="X37" i="15" s="1"/>
  <c r="X17" i="15" s="1"/>
  <c r="X16" i="15" s="1"/>
  <c r="Y45" i="15"/>
  <c r="Y44" i="15" s="1"/>
  <c r="Y37" i="15" s="1"/>
  <c r="Y17" i="15" s="1"/>
  <c r="Y16" i="15" s="1"/>
  <c r="Z45" i="15"/>
  <c r="Z44" i="15" s="1"/>
  <c r="Z37" i="15" s="1"/>
  <c r="Z17" i="15" s="1"/>
  <c r="Z16" i="15" s="1"/>
  <c r="AA45" i="15"/>
  <c r="AA44" i="15" s="1"/>
  <c r="AA37" i="15" s="1"/>
  <c r="AA17" i="15" s="1"/>
  <c r="AA16" i="15" s="1"/>
  <c r="AB45" i="15"/>
  <c r="AB44" i="15" s="1"/>
  <c r="AB37" i="15" s="1"/>
  <c r="AB17" i="15" s="1"/>
  <c r="AB16" i="15" s="1"/>
  <c r="AC45" i="15"/>
  <c r="AC44" i="15" s="1"/>
  <c r="AC37" i="15" s="1"/>
  <c r="AC17" i="15" s="1"/>
  <c r="AC16" i="15" s="1"/>
  <c r="AD45" i="15"/>
  <c r="AD44" i="15" s="1"/>
  <c r="AD37" i="15" s="1"/>
  <c r="AD17" i="15" s="1"/>
  <c r="AD16" i="15" s="1"/>
  <c r="AE45" i="15"/>
  <c r="AE44" i="15" s="1"/>
  <c r="AE37" i="15" s="1"/>
  <c r="AE17" i="15" s="1"/>
  <c r="AE16" i="15" s="1"/>
  <c r="AF45" i="15"/>
  <c r="AF44" i="15" s="1"/>
  <c r="AF37" i="15" s="1"/>
  <c r="AF17" i="15" s="1"/>
  <c r="AF16" i="15" s="1"/>
  <c r="AG45" i="15"/>
  <c r="AG44" i="15" s="1"/>
  <c r="AG37" i="15" s="1"/>
  <c r="AG17" i="15" s="1"/>
  <c r="AG16" i="15" s="1"/>
  <c r="AH45" i="15"/>
  <c r="AH44" i="15" s="1"/>
  <c r="AH37" i="15" s="1"/>
  <c r="AH17" i="15" s="1"/>
  <c r="AH16" i="15" s="1"/>
  <c r="AI45" i="15"/>
  <c r="AI44" i="15" s="1"/>
  <c r="AI37" i="15" s="1"/>
  <c r="AI17" i="15" s="1"/>
  <c r="AI16" i="15" s="1"/>
  <c r="AJ45" i="15"/>
  <c r="AJ44" i="15" s="1"/>
  <c r="AJ37" i="15" s="1"/>
  <c r="AJ17" i="15" s="1"/>
  <c r="AJ16" i="15" s="1"/>
  <c r="AK45" i="15"/>
  <c r="AK44" i="15" s="1"/>
  <c r="AK37" i="15" s="1"/>
  <c r="AK17" i="15" s="1"/>
  <c r="AK16" i="15" s="1"/>
  <c r="AL45" i="15"/>
  <c r="AL44" i="15" s="1"/>
  <c r="AL37" i="15" s="1"/>
  <c r="AL17" i="15" s="1"/>
  <c r="AL16" i="15" s="1"/>
  <c r="AM45" i="15"/>
  <c r="AM44" i="15" s="1"/>
  <c r="AM37" i="15" s="1"/>
  <c r="AM17" i="15" s="1"/>
  <c r="AM16" i="15" s="1"/>
  <c r="AN45" i="15"/>
  <c r="AN44" i="15" s="1"/>
  <c r="AN37" i="15" s="1"/>
  <c r="AN17" i="15" s="1"/>
  <c r="AN16" i="15" s="1"/>
  <c r="AO45" i="15"/>
  <c r="AO44" i="15" s="1"/>
  <c r="AO37" i="15" s="1"/>
  <c r="AO17" i="15" s="1"/>
  <c r="AO16" i="15" s="1"/>
  <c r="AP45" i="15"/>
  <c r="AP44" i="15" s="1"/>
  <c r="AP37" i="15" s="1"/>
  <c r="AP17" i="15" s="1"/>
  <c r="AP16" i="15" s="1"/>
  <c r="AQ45" i="15"/>
  <c r="AQ44" i="15" s="1"/>
  <c r="AQ37" i="15" s="1"/>
  <c r="AQ17" i="15" s="1"/>
  <c r="AQ16" i="15" s="1"/>
  <c r="AR45" i="15"/>
  <c r="AR44" i="15" s="1"/>
  <c r="AR37" i="15" s="1"/>
  <c r="AR17" i="15" s="1"/>
  <c r="AR16" i="15" s="1"/>
  <c r="AS45" i="15"/>
  <c r="AS44" i="15" s="1"/>
  <c r="AS37" i="15" s="1"/>
  <c r="AS17" i="15" s="1"/>
  <c r="AS16" i="15" s="1"/>
  <c r="AT45" i="15"/>
  <c r="AT44" i="15" s="1"/>
  <c r="AT37" i="15" s="1"/>
  <c r="AT17" i="15" s="1"/>
  <c r="AT16" i="15" s="1"/>
  <c r="AU45" i="15"/>
  <c r="AU44" i="15" s="1"/>
  <c r="AU37" i="15" s="1"/>
  <c r="AU17" i="15" s="1"/>
  <c r="AU16" i="15" s="1"/>
  <c r="AV45" i="15"/>
  <c r="AV44" i="15" s="1"/>
  <c r="AV37" i="15" s="1"/>
  <c r="AV17" i="15" s="1"/>
  <c r="AV16" i="15" s="1"/>
  <c r="AW45" i="15"/>
  <c r="AW44" i="15" s="1"/>
  <c r="AW37" i="15" s="1"/>
  <c r="AW17" i="15" s="1"/>
  <c r="AW16" i="15" s="1"/>
  <c r="AX45" i="15"/>
  <c r="AX44" i="15" s="1"/>
  <c r="AX37" i="15" s="1"/>
  <c r="AX17" i="15" s="1"/>
  <c r="AX16" i="15" s="1"/>
  <c r="AY45" i="15"/>
  <c r="AY44" i="15" s="1"/>
  <c r="AY37" i="15" s="1"/>
  <c r="AY17" i="15" s="1"/>
  <c r="AY16" i="15" s="1"/>
  <c r="AZ45" i="15"/>
  <c r="AZ44" i="15" s="1"/>
  <c r="AZ37" i="15" s="1"/>
  <c r="AZ17" i="15" s="1"/>
  <c r="AZ16" i="15" s="1"/>
  <c r="BA45" i="15"/>
  <c r="BA44" i="15" s="1"/>
  <c r="BA37" i="15" s="1"/>
  <c r="BA17" i="15" s="1"/>
  <c r="BA16" i="15" s="1"/>
  <c r="BB45" i="15"/>
  <c r="BB44" i="15" s="1"/>
  <c r="BB37" i="15" s="1"/>
  <c r="BB17" i="15" s="1"/>
  <c r="BB16" i="15" s="1"/>
  <c r="BC45" i="15"/>
  <c r="BC44" i="15" s="1"/>
  <c r="BC37" i="15" s="1"/>
  <c r="BC17" i="15" s="1"/>
  <c r="BC16" i="15" s="1"/>
  <c r="BD45" i="15"/>
  <c r="BD44" i="15" s="1"/>
  <c r="BD37" i="15" s="1"/>
  <c r="BD17" i="15" s="1"/>
  <c r="BD16" i="15" s="1"/>
  <c r="BE45" i="15"/>
  <c r="BE44" i="15" s="1"/>
  <c r="BE37" i="15" s="1"/>
  <c r="BE17" i="15" s="1"/>
  <c r="BE16" i="15" s="1"/>
  <c r="BF45" i="15"/>
  <c r="BF44" i="15" s="1"/>
  <c r="BF37" i="15" s="1"/>
  <c r="BF17" i="15" s="1"/>
  <c r="BF16" i="15" s="1"/>
  <c r="BG45" i="15"/>
  <c r="BG44" i="15" s="1"/>
  <c r="BG37" i="15" s="1"/>
  <c r="BG17" i="15" s="1"/>
  <c r="BG16" i="15" s="1"/>
  <c r="BO45" i="15"/>
  <c r="BO44" i="15" s="1"/>
  <c r="BO37" i="15" s="1"/>
  <c r="BO17" i="15" s="1"/>
  <c r="BO16" i="15" s="1"/>
  <c r="CV45" i="15"/>
  <c r="CV44" i="15" s="1"/>
  <c r="CV37" i="15" s="1"/>
  <c r="CV17" i="15" s="1"/>
  <c r="CV16" i="15" s="1"/>
  <c r="CW45" i="15"/>
  <c r="CX45" i="15"/>
  <c r="CY45" i="15"/>
  <c r="CZ45" i="15"/>
  <c r="CZ44" i="15" s="1"/>
  <c r="CZ37" i="15" s="1"/>
  <c r="CZ17" i="15" s="1"/>
  <c r="CZ16" i="15" s="1"/>
  <c r="DA45" i="15"/>
  <c r="DA44" i="15" s="1"/>
  <c r="DA37" i="15" s="1"/>
  <c r="DA17" i="15" s="1"/>
  <c r="DA16" i="15" s="1"/>
  <c r="DB45" i="15"/>
  <c r="DB44" i="15" s="1"/>
  <c r="DB37" i="15" s="1"/>
  <c r="DB17" i="15" s="1"/>
  <c r="DB16" i="15" s="1"/>
  <c r="DC45" i="15"/>
  <c r="DC44" i="15" s="1"/>
  <c r="DC37" i="15" s="1"/>
  <c r="DC17" i="15" s="1"/>
  <c r="DC16" i="15" s="1"/>
  <c r="D45" i="15"/>
  <c r="DD48" i="15"/>
  <c r="DT48" i="15" s="1"/>
  <c r="DF48" i="15"/>
  <c r="DV48" i="15" s="1"/>
  <c r="DD47" i="15"/>
  <c r="DF47" i="15"/>
  <c r="DF48" i="10"/>
  <c r="DG48" i="10"/>
  <c r="DH48" i="10"/>
  <c r="DI48" i="10"/>
  <c r="DF49" i="10"/>
  <c r="DG49" i="10"/>
  <c r="DH49" i="10"/>
  <c r="DI49" i="10"/>
  <c r="I47" i="8"/>
  <c r="P47" i="8" s="1"/>
  <c r="AL47" i="8" s="1"/>
  <c r="AN47" i="8" s="1"/>
  <c r="I46" i="8"/>
  <c r="P46" i="8" s="1"/>
  <c r="AL46" i="8" s="1"/>
  <c r="AN46" i="8" s="1"/>
  <c r="E48" i="10" s="1"/>
  <c r="K40" i="8"/>
  <c r="P44" i="4"/>
  <c r="I44" i="4"/>
  <c r="CE47" i="4"/>
  <c r="CF46" i="4"/>
  <c r="U46" i="4"/>
  <c r="AD48" i="4"/>
  <c r="AN48" i="4"/>
  <c r="DI45" i="15" l="1"/>
  <c r="DI44" i="15" s="1"/>
  <c r="DI37" i="15" s="1"/>
  <c r="DI17" i="15" s="1"/>
  <c r="DI16" i="15" s="1"/>
  <c r="DH45" i="15"/>
  <c r="DH44" i="15" s="1"/>
  <c r="DH37" i="15" s="1"/>
  <c r="DH17" i="15" s="1"/>
  <c r="DH16" i="15" s="1"/>
  <c r="DK45" i="15"/>
  <c r="DK44" i="15" s="1"/>
  <c r="DK37" i="15" s="1"/>
  <c r="DK17" i="15" s="1"/>
  <c r="DK16" i="15" s="1"/>
  <c r="DZ45" i="15"/>
  <c r="DZ44" i="15" s="1"/>
  <c r="DZ37" i="15" s="1"/>
  <c r="DZ17" i="15" s="1"/>
  <c r="DZ16" i="15" s="1"/>
  <c r="DE45" i="15"/>
  <c r="DE44" i="15" s="1"/>
  <c r="DE37" i="15" s="1"/>
  <c r="DE17" i="15" s="1"/>
  <c r="DE16" i="15" s="1"/>
  <c r="DU48" i="15"/>
  <c r="DJ45" i="15"/>
  <c r="DJ44" i="15" s="1"/>
  <c r="DJ37" i="15" s="1"/>
  <c r="DJ17" i="15" s="1"/>
  <c r="DJ16" i="15" s="1"/>
  <c r="DY48" i="15"/>
  <c r="DF45" i="15"/>
  <c r="DF44" i="15" s="1"/>
  <c r="DF37" i="15" s="1"/>
  <c r="DF17" i="15" s="1"/>
  <c r="DF16" i="15" s="1"/>
  <c r="DT47" i="15"/>
  <c r="DD45" i="15"/>
  <c r="DD44" i="15" s="1"/>
  <c r="DD37" i="15" s="1"/>
  <c r="DD17" i="15" s="1"/>
  <c r="DD16" i="15" s="1"/>
  <c r="L45" i="15"/>
  <c r="L44" i="15" s="1"/>
  <c r="L37" i="15" s="1"/>
  <c r="L17" i="15" s="1"/>
  <c r="L16" i="15" s="1"/>
  <c r="DV47" i="15"/>
  <c r="AX46" i="4"/>
  <c r="F44" i="20"/>
  <c r="U48" i="4"/>
  <c r="DG45" i="15"/>
  <c r="DG44" i="15" s="1"/>
  <c r="DG37" i="15" s="1"/>
  <c r="DG17" i="15" s="1"/>
  <c r="DG16" i="15" s="1"/>
  <c r="E49" i="10"/>
  <c r="BI49" i="10"/>
  <c r="DE49" i="10" s="1"/>
  <c r="BI48" i="10"/>
  <c r="DE48" i="10" s="1"/>
  <c r="K44" i="20" l="1"/>
  <c r="BA46" i="4"/>
  <c r="CB46" i="4"/>
  <c r="U47" i="4"/>
  <c r="K45" i="20"/>
  <c r="I44" i="20" l="1"/>
  <c r="CE46" i="4"/>
  <c r="BB48" i="4"/>
  <c r="AX47" i="4"/>
  <c r="BB47" i="4" s="1"/>
  <c r="P41" i="20"/>
  <c r="BI46" i="15"/>
  <c r="BI45" i="15" s="1"/>
  <c r="BI44" i="15" s="1"/>
  <c r="BI37" i="15" s="1"/>
  <c r="BI17" i="15" s="1"/>
  <c r="BI16" i="15" s="1"/>
  <c r="BK46" i="15"/>
  <c r="BK45" i="15" s="1"/>
  <c r="BK44" i="15" s="1"/>
  <c r="BK37" i="15" s="1"/>
  <c r="BK17" i="15" s="1"/>
  <c r="BK16" i="15" s="1"/>
  <c r="BL46" i="15"/>
  <c r="BM46" i="15"/>
  <c r="BM45" i="15" s="1"/>
  <c r="BM44" i="15" s="1"/>
  <c r="BM37" i="15" s="1"/>
  <c r="BM17" i="15" s="1"/>
  <c r="BM16" i="15" s="1"/>
  <c r="BN46" i="15"/>
  <c r="BN45" i="15" s="1"/>
  <c r="BN44" i="15" s="1"/>
  <c r="BN37" i="15" s="1"/>
  <c r="BN17" i="15" s="1"/>
  <c r="BN16" i="15" s="1"/>
  <c r="BH46" i="15"/>
  <c r="DF47" i="10"/>
  <c r="AV47" i="10"/>
  <c r="I45" i="8"/>
  <c r="L46" i="2"/>
  <c r="M46" i="2"/>
  <c r="N46" i="2"/>
  <c r="O46" i="2"/>
  <c r="K46" i="2"/>
  <c r="DT46" i="15" l="1"/>
  <c r="BH45" i="15"/>
  <c r="BH44" i="15" s="1"/>
  <c r="BH37" i="15" s="1"/>
  <c r="BH17" i="15" s="1"/>
  <c r="BH16" i="15" s="1"/>
  <c r="DX46" i="15"/>
  <c r="BL45" i="15"/>
  <c r="BL44" i="15" s="1"/>
  <c r="BL37" i="15" s="1"/>
  <c r="BL17" i="15" s="1"/>
  <c r="BL16" i="15" s="1"/>
  <c r="DH47" i="10"/>
  <c r="J45" i="20"/>
  <c r="CF47" i="4"/>
  <c r="P45" i="8"/>
  <c r="AF45" i="8" s="1"/>
  <c r="CF48" i="4"/>
  <c r="CB48" i="4" s="1"/>
  <c r="AX48" i="4"/>
  <c r="F45" i="20"/>
  <c r="CB47" i="4"/>
  <c r="U45" i="4"/>
  <c r="F43" i="20" s="1"/>
  <c r="N42" i="20"/>
  <c r="E46" i="14"/>
  <c r="F46" i="14"/>
  <c r="G46" i="14"/>
  <c r="H46" i="14"/>
  <c r="I46" i="14"/>
  <c r="J46" i="14"/>
  <c r="K46" i="14"/>
  <c r="L46" i="14"/>
  <c r="M46" i="14"/>
  <c r="N46" i="14"/>
  <c r="O46" i="14"/>
  <c r="P46" i="14"/>
  <c r="D46" i="14"/>
  <c r="AN45" i="8" l="1"/>
  <c r="E47" i="10" s="1"/>
  <c r="AS47" i="10" s="1"/>
  <c r="AR45" i="4"/>
  <c r="CE45" i="4"/>
  <c r="J43" i="20" l="1"/>
  <c r="I43" i="20" s="1"/>
  <c r="AN45" i="4"/>
  <c r="CF45" i="4"/>
  <c r="AK47" i="10"/>
  <c r="DE47" i="10"/>
  <c r="BJ46" i="15" l="1"/>
  <c r="N45" i="15"/>
  <c r="N44" i="15" s="1"/>
  <c r="N37" i="15" s="1"/>
  <c r="N17" i="15" s="1"/>
  <c r="N16" i="15" s="1"/>
  <c r="CB45" i="4"/>
  <c r="K43" i="20"/>
  <c r="DQ61" i="15"/>
  <c r="DR61" i="15"/>
  <c r="DS61" i="15"/>
  <c r="DT61" i="15"/>
  <c r="DU61" i="15"/>
  <c r="DV61" i="15"/>
  <c r="DW61" i="15"/>
  <c r="DX61" i="15"/>
  <c r="DY61" i="15"/>
  <c r="DZ61" i="15"/>
  <c r="EA61" i="15"/>
  <c r="DP61" i="15"/>
  <c r="EA74" i="15"/>
  <c r="EA72" i="15" s="1"/>
  <c r="DZ74" i="15"/>
  <c r="DY74" i="15"/>
  <c r="DX74" i="15"/>
  <c r="DW74" i="15"/>
  <c r="DV74" i="15"/>
  <c r="DU74" i="15"/>
  <c r="DT74" i="15"/>
  <c r="DS72" i="15"/>
  <c r="EB74" i="15" l="1"/>
  <c r="EB72" i="15" s="1"/>
  <c r="DV46" i="15"/>
  <c r="BJ45" i="15"/>
  <c r="BJ44" i="15" s="1"/>
  <c r="BJ37" i="15" s="1"/>
  <c r="BJ17" i="15" s="1"/>
  <c r="BJ16" i="15" s="1"/>
  <c r="BF61" i="15"/>
  <c r="BG61" i="15"/>
  <c r="BH61" i="15"/>
  <c r="BI61" i="15"/>
  <c r="BJ61" i="15"/>
  <c r="BK61" i="15"/>
  <c r="BL61" i="15"/>
  <c r="BM61" i="15"/>
  <c r="BN61" i="15"/>
  <c r="BO61" i="15"/>
  <c r="CV61" i="15"/>
  <c r="CW61" i="15"/>
  <c r="CX61" i="15"/>
  <c r="CY61" i="15"/>
  <c r="CZ61" i="15"/>
  <c r="DA61" i="15"/>
  <c r="DB61" i="15"/>
  <c r="DF62" i="10"/>
  <c r="DG62" i="10"/>
  <c r="DH62" i="10"/>
  <c r="DI62" i="10"/>
  <c r="DJ62" i="10"/>
  <c r="DK62" i="10"/>
  <c r="DJ75" i="10"/>
  <c r="AX62" i="10"/>
  <c r="AC70" i="18"/>
  <c r="DQ18" i="15" l="1"/>
  <c r="DS18" i="15"/>
  <c r="DT18" i="15"/>
  <c r="DU18" i="15"/>
  <c r="DV18" i="15"/>
  <c r="DW18" i="15"/>
  <c r="DX18" i="15"/>
  <c r="DY18" i="15"/>
  <c r="EA18" i="15"/>
  <c r="DK75" i="10" l="1"/>
  <c r="DI75" i="10"/>
  <c r="DH75" i="10"/>
  <c r="DG75" i="10"/>
  <c r="DF75" i="10"/>
  <c r="DK50" i="10"/>
  <c r="DI50" i="10"/>
  <c r="DG50" i="10"/>
  <c r="DF50" i="10"/>
  <c r="DF42" i="10"/>
  <c r="DG42" i="10"/>
  <c r="DH42" i="10"/>
  <c r="DI42" i="10"/>
  <c r="DK42" i="10"/>
  <c r="DK41" i="10"/>
  <c r="DI41" i="10"/>
  <c r="DH41" i="10"/>
  <c r="DG41" i="10"/>
  <c r="DF41" i="10"/>
  <c r="CY50" i="10"/>
  <c r="CX50" i="10"/>
  <c r="CX42" i="10"/>
  <c r="CY42" i="10"/>
  <c r="DC41" i="10"/>
  <c r="DA41" i="10"/>
  <c r="CZ41" i="10"/>
  <c r="CY41" i="10"/>
  <c r="CX41" i="10"/>
  <c r="DH50" i="10" l="1"/>
  <c r="AF39" i="8"/>
  <c r="I72" i="8" l="1"/>
  <c r="P40" i="8" l="1"/>
  <c r="AN40" i="8" s="1"/>
  <c r="AS42" i="10" s="1"/>
  <c r="I48" i="8"/>
  <c r="E36" i="8"/>
  <c r="AK41" i="10" l="1"/>
  <c r="P48" i="8"/>
  <c r="E42" i="10"/>
  <c r="D50" i="8"/>
  <c r="E50" i="8"/>
  <c r="F50" i="8"/>
  <c r="G50" i="8"/>
  <c r="D51" i="8"/>
  <c r="E51" i="8"/>
  <c r="F51" i="8"/>
  <c r="G51" i="8"/>
  <c r="D57" i="8"/>
  <c r="E57" i="8"/>
  <c r="F57" i="8"/>
  <c r="G57" i="8"/>
  <c r="D58" i="8"/>
  <c r="E58" i="8"/>
  <c r="F58" i="8"/>
  <c r="G58" i="8"/>
  <c r="D59" i="8"/>
  <c r="E59" i="8"/>
  <c r="F59" i="8"/>
  <c r="G59" i="8"/>
  <c r="D60" i="8"/>
  <c r="E60" i="8"/>
  <c r="F60" i="8"/>
  <c r="G60" i="8"/>
  <c r="D42" i="8"/>
  <c r="E42" i="8"/>
  <c r="F42" i="8"/>
  <c r="G42" i="8"/>
  <c r="D43" i="8"/>
  <c r="E43" i="8"/>
  <c r="F43" i="8"/>
  <c r="G43" i="8"/>
  <c r="D44" i="8"/>
  <c r="E44" i="8"/>
  <c r="F44" i="8"/>
  <c r="G44" i="8"/>
  <c r="D34" i="8"/>
  <c r="E34" i="8"/>
  <c r="F34" i="8"/>
  <c r="D37" i="8"/>
  <c r="E37" i="8"/>
  <c r="F37" i="8"/>
  <c r="G37" i="8"/>
  <c r="D38" i="8"/>
  <c r="E38" i="8"/>
  <c r="F38" i="8"/>
  <c r="G38" i="8"/>
  <c r="G72" i="8"/>
  <c r="F17" i="8"/>
  <c r="G17" i="8"/>
  <c r="G16" i="8"/>
  <c r="F16" i="8"/>
  <c r="F15" i="8"/>
  <c r="G15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5" i="8"/>
  <c r="E35" i="8"/>
  <c r="D36" i="8"/>
  <c r="D49" i="8"/>
  <c r="E49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42" i="8"/>
  <c r="C43" i="8"/>
  <c r="C44" i="8"/>
  <c r="C49" i="8"/>
  <c r="C50" i="8"/>
  <c r="C51" i="8"/>
  <c r="C57" i="8"/>
  <c r="C58" i="8"/>
  <c r="C59" i="8"/>
  <c r="C60" i="8"/>
  <c r="C62" i="8"/>
  <c r="C63" i="8"/>
  <c r="C64" i="8"/>
  <c r="C65" i="8"/>
  <c r="C66" i="8"/>
  <c r="C67" i="8"/>
  <c r="C68" i="8"/>
  <c r="C69" i="8"/>
  <c r="C70" i="8"/>
  <c r="C71" i="8"/>
  <c r="C15" i="8"/>
  <c r="J38" i="20"/>
  <c r="J46" i="20"/>
  <c r="AH39" i="4"/>
  <c r="R39" i="4"/>
  <c r="S39" i="4" s="1"/>
  <c r="Y71" i="4"/>
  <c r="Z71" i="4"/>
  <c r="L60" i="4"/>
  <c r="R72" i="4"/>
  <c r="S72" i="4" s="1"/>
  <c r="K71" i="4"/>
  <c r="L71" i="4"/>
  <c r="I60" i="4"/>
  <c r="J60" i="4"/>
  <c r="K60" i="4"/>
  <c r="H60" i="4"/>
  <c r="E41" i="2"/>
  <c r="F41" i="2"/>
  <c r="G41" i="2"/>
  <c r="H41" i="2"/>
  <c r="D41" i="2"/>
  <c r="U72" i="4" l="1"/>
  <c r="S72" i="8" s="1"/>
  <c r="AL48" i="8"/>
  <c r="J41" i="20"/>
  <c r="J69" i="20"/>
  <c r="U39" i="4"/>
  <c r="CF39" i="4"/>
  <c r="AN72" i="4" l="1"/>
  <c r="CB72" i="4" s="1"/>
  <c r="AL72" i="4"/>
  <c r="AN48" i="8"/>
  <c r="P72" i="8"/>
  <c r="J37" i="20"/>
  <c r="DE42" i="10"/>
  <c r="E50" i="10" l="1"/>
  <c r="AF72" i="8"/>
  <c r="AN72" i="8" s="1"/>
  <c r="K38" i="20"/>
  <c r="F38" i="20"/>
  <c r="CO50" i="10" l="1"/>
  <c r="BI50" i="10"/>
  <c r="E75" i="10"/>
  <c r="I38" i="20"/>
  <c r="DE50" i="10" l="1"/>
  <c r="AS75" i="10"/>
  <c r="O36" i="20"/>
  <c r="O35" i="20" s="1"/>
  <c r="O34" i="20" s="1"/>
  <c r="P36" i="20"/>
  <c r="P35" i="20" s="1"/>
  <c r="P34" i="20" s="1"/>
  <c r="Q36" i="20"/>
  <c r="Q35" i="20" s="1"/>
  <c r="Q34" i="20" s="1"/>
  <c r="R36" i="20"/>
  <c r="R35" i="20" s="1"/>
  <c r="R34" i="20" s="1"/>
  <c r="S36" i="20"/>
  <c r="S35" i="20" s="1"/>
  <c r="S34" i="20" s="1"/>
  <c r="T36" i="20"/>
  <c r="T35" i="20" s="1"/>
  <c r="T34" i="20" s="1"/>
  <c r="U36" i="20"/>
  <c r="U35" i="20" s="1"/>
  <c r="V36" i="20"/>
  <c r="V35" i="20" s="1"/>
  <c r="V34" i="20" s="1"/>
  <c r="W36" i="20"/>
  <c r="W35" i="20" s="1"/>
  <c r="W34" i="20" s="1"/>
  <c r="Z36" i="20"/>
  <c r="Z35" i="20" s="1"/>
  <c r="Z34" i="20" s="1"/>
  <c r="AA36" i="20"/>
  <c r="AA35" i="20" s="1"/>
  <c r="AA34" i="20" s="1"/>
  <c r="AA13" i="20" s="1"/>
  <c r="AA12" i="20" s="1"/>
  <c r="N35" i="20"/>
  <c r="N34" i="20" s="1"/>
  <c r="G14" i="20"/>
  <c r="H14" i="20"/>
  <c r="L14" i="20"/>
  <c r="N14" i="20"/>
  <c r="O14" i="20"/>
  <c r="P14" i="20"/>
  <c r="Q14" i="20"/>
  <c r="R14" i="20"/>
  <c r="S14" i="20"/>
  <c r="T14" i="20"/>
  <c r="V14" i="20"/>
  <c r="W14" i="20"/>
  <c r="X14" i="20"/>
  <c r="Y14" i="20"/>
  <c r="Z14" i="20"/>
  <c r="AA14" i="20"/>
  <c r="U31" i="20"/>
  <c r="U14" i="20" s="1"/>
  <c r="E14" i="20"/>
  <c r="C14" i="20"/>
  <c r="C13" i="20" s="1"/>
  <c r="C12" i="20" s="1"/>
  <c r="C34" i="20"/>
  <c r="Y36" i="20"/>
  <c r="Y35" i="20" s="1"/>
  <c r="Y34" i="20" s="1"/>
  <c r="X36" i="20"/>
  <c r="X35" i="20" s="1"/>
  <c r="X34" i="20" s="1"/>
  <c r="D31" i="20"/>
  <c r="D14" i="20" s="1"/>
  <c r="J31" i="20"/>
  <c r="J14" i="20" s="1"/>
  <c r="K57" i="19"/>
  <c r="K47" i="19" s="1"/>
  <c r="J57" i="19"/>
  <c r="J47" i="19" s="1"/>
  <c r="I57" i="19"/>
  <c r="H57" i="19"/>
  <c r="G57" i="19"/>
  <c r="F57" i="19"/>
  <c r="I47" i="19"/>
  <c r="H47" i="19"/>
  <c r="G47" i="19"/>
  <c r="F47" i="19"/>
  <c r="E47" i="19"/>
  <c r="D47" i="19"/>
  <c r="K41" i="19"/>
  <c r="J41" i="19"/>
  <c r="I41" i="19"/>
  <c r="H41" i="19"/>
  <c r="G41" i="19"/>
  <c r="F41" i="19"/>
  <c r="E40" i="19"/>
  <c r="D40" i="19"/>
  <c r="K40" i="19"/>
  <c r="J40" i="19"/>
  <c r="I40" i="19"/>
  <c r="H40" i="19"/>
  <c r="G40" i="19"/>
  <c r="F40" i="19"/>
  <c r="K35" i="19"/>
  <c r="K34" i="19" s="1"/>
  <c r="J35" i="19"/>
  <c r="J34" i="19" s="1"/>
  <c r="I35" i="19"/>
  <c r="I34" i="19" s="1"/>
  <c r="H35" i="19"/>
  <c r="H34" i="19" s="1"/>
  <c r="G35" i="19"/>
  <c r="G34" i="19" s="1"/>
  <c r="F35" i="19"/>
  <c r="F34" i="19" s="1"/>
  <c r="E34" i="19"/>
  <c r="K30" i="19"/>
  <c r="J30" i="19"/>
  <c r="I30" i="19"/>
  <c r="I13" i="19" s="1"/>
  <c r="H30" i="19"/>
  <c r="H13" i="19" s="1"/>
  <c r="G30" i="19"/>
  <c r="G13" i="19" s="1"/>
  <c r="F30" i="19"/>
  <c r="F13" i="19" s="1"/>
  <c r="E13" i="19"/>
  <c r="D13" i="19"/>
  <c r="K13" i="19"/>
  <c r="J13" i="19"/>
  <c r="S58" i="18"/>
  <c r="S48" i="18" s="1"/>
  <c r="T58" i="18"/>
  <c r="T48" i="18" s="1"/>
  <c r="U58" i="18"/>
  <c r="U48" i="18" s="1"/>
  <c r="V58" i="18"/>
  <c r="V48" i="18" s="1"/>
  <c r="W58" i="18"/>
  <c r="W48" i="18" s="1"/>
  <c r="X58" i="18"/>
  <c r="X48" i="18" s="1"/>
  <c r="Y58" i="18"/>
  <c r="Y48" i="18" s="1"/>
  <c r="Z58" i="18"/>
  <c r="Z48" i="18" s="1"/>
  <c r="AA58" i="18"/>
  <c r="AA48" i="18" s="1"/>
  <c r="AB58" i="18"/>
  <c r="AB48" i="18" s="1"/>
  <c r="AC48" i="18"/>
  <c r="AD58" i="18"/>
  <c r="AD48" i="18" s="1"/>
  <c r="AE58" i="18"/>
  <c r="AE48" i="18" s="1"/>
  <c r="S41" i="18"/>
  <c r="T41" i="18"/>
  <c r="U41" i="18"/>
  <c r="V41" i="18"/>
  <c r="W41" i="18"/>
  <c r="X41" i="18"/>
  <c r="Y41" i="18"/>
  <c r="Z41" i="18"/>
  <c r="AA41" i="18"/>
  <c r="AB41" i="18"/>
  <c r="AC41" i="18"/>
  <c r="AD42" i="18"/>
  <c r="AD41" i="18" s="1"/>
  <c r="AE42" i="18"/>
  <c r="AE41" i="18" s="1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T14" i="18"/>
  <c r="U31" i="18"/>
  <c r="U14" i="18" s="1"/>
  <c r="V31" i="18"/>
  <c r="V14" i="18" s="1"/>
  <c r="W31" i="18"/>
  <c r="W14" i="18" s="1"/>
  <c r="X31" i="18"/>
  <c r="Y31" i="18"/>
  <c r="Y14" i="18" s="1"/>
  <c r="Z31" i="18"/>
  <c r="Z14" i="18" s="1"/>
  <c r="AA31" i="18"/>
  <c r="AA14" i="18" s="1"/>
  <c r="AB31" i="18"/>
  <c r="AC14" i="18"/>
  <c r="AD14" i="18"/>
  <c r="AE14" i="18"/>
  <c r="S14" i="18"/>
  <c r="X14" i="18"/>
  <c r="AB14" i="18"/>
  <c r="R58" i="18"/>
  <c r="Q58" i="18"/>
  <c r="Q48" i="18" s="1"/>
  <c r="P58" i="18"/>
  <c r="P48" i="18" s="1"/>
  <c r="O58" i="18"/>
  <c r="O48" i="18" s="1"/>
  <c r="N58" i="18"/>
  <c r="M58" i="18"/>
  <c r="L58" i="18"/>
  <c r="L48" i="18" s="1"/>
  <c r="K58" i="18"/>
  <c r="K48" i="18" s="1"/>
  <c r="J58" i="18"/>
  <c r="I58" i="18"/>
  <c r="I48" i="18" s="1"/>
  <c r="H58" i="18"/>
  <c r="H48" i="18" s="1"/>
  <c r="G58" i="18"/>
  <c r="G48" i="18" s="1"/>
  <c r="F58" i="18"/>
  <c r="E58" i="18"/>
  <c r="D58" i="18"/>
  <c r="D48" i="18" s="1"/>
  <c r="R48" i="18"/>
  <c r="N48" i="18"/>
  <c r="M48" i="18"/>
  <c r="J48" i="18"/>
  <c r="F48" i="18"/>
  <c r="E48" i="18"/>
  <c r="R41" i="18"/>
  <c r="Q41" i="18"/>
  <c r="O42" i="18"/>
  <c r="O41" i="18" s="1"/>
  <c r="N42" i="18"/>
  <c r="N41" i="18" s="1"/>
  <c r="M42" i="18"/>
  <c r="M41" i="18" s="1"/>
  <c r="L42" i="18"/>
  <c r="L41" i="18" s="1"/>
  <c r="K42" i="18"/>
  <c r="K41" i="18" s="1"/>
  <c r="J42" i="18"/>
  <c r="J41" i="18" s="1"/>
  <c r="I42" i="18"/>
  <c r="I41" i="18" s="1"/>
  <c r="H42" i="18"/>
  <c r="H41" i="18" s="1"/>
  <c r="G42" i="18"/>
  <c r="G41" i="18" s="1"/>
  <c r="F42" i="18"/>
  <c r="F41" i="18" s="1"/>
  <c r="E42" i="18"/>
  <c r="E41" i="18" s="1"/>
  <c r="D42" i="18"/>
  <c r="D41" i="18" s="1"/>
  <c r="P41" i="18"/>
  <c r="R35" i="18"/>
  <c r="Q35" i="18"/>
  <c r="P35" i="18"/>
  <c r="O36" i="18"/>
  <c r="O35" i="18" s="1"/>
  <c r="N36" i="18"/>
  <c r="N35" i="18" s="1"/>
  <c r="M36" i="18"/>
  <c r="M35" i="18" s="1"/>
  <c r="L36" i="18"/>
  <c r="L35" i="18" s="1"/>
  <c r="K36" i="18"/>
  <c r="K35" i="18" s="1"/>
  <c r="J36" i="18"/>
  <c r="J35" i="18" s="1"/>
  <c r="I36" i="18"/>
  <c r="I35" i="18" s="1"/>
  <c r="H36" i="18"/>
  <c r="H35" i="18" s="1"/>
  <c r="G36" i="18"/>
  <c r="G35" i="18" s="1"/>
  <c r="F36" i="18"/>
  <c r="F35" i="18" s="1"/>
  <c r="E36" i="18"/>
  <c r="E35" i="18" s="1"/>
  <c r="R14" i="18"/>
  <c r="Q31" i="18"/>
  <c r="Q14" i="18" s="1"/>
  <c r="P14" i="18"/>
  <c r="O31" i="18"/>
  <c r="N31" i="18"/>
  <c r="M31" i="18"/>
  <c r="M14" i="18" s="1"/>
  <c r="L31" i="18"/>
  <c r="L14" i="18" s="1"/>
  <c r="K31" i="18"/>
  <c r="K14" i="18" s="1"/>
  <c r="J31" i="18"/>
  <c r="J14" i="18" s="1"/>
  <c r="I31" i="18"/>
  <c r="I14" i="18" s="1"/>
  <c r="H31" i="18"/>
  <c r="H14" i="18" s="1"/>
  <c r="G31" i="18"/>
  <c r="G14" i="18" s="1"/>
  <c r="F31" i="18"/>
  <c r="F14" i="18" s="1"/>
  <c r="E31" i="18"/>
  <c r="E14" i="18" s="1"/>
  <c r="D31" i="18"/>
  <c r="D14" i="18" s="1"/>
  <c r="O14" i="18"/>
  <c r="N14" i="18"/>
  <c r="M12" i="17"/>
  <c r="M10" i="17" s="1"/>
  <c r="L12" i="17"/>
  <c r="N12" i="17"/>
  <c r="O12" i="17"/>
  <c r="P12" i="17"/>
  <c r="Q12" i="17"/>
  <c r="R12" i="17"/>
  <c r="L33" i="17"/>
  <c r="M34" i="17"/>
  <c r="N33" i="17"/>
  <c r="O33" i="17"/>
  <c r="P33" i="17"/>
  <c r="Q33" i="17"/>
  <c r="R33" i="17"/>
  <c r="L39" i="17"/>
  <c r="M39" i="17"/>
  <c r="N39" i="17"/>
  <c r="O39" i="17"/>
  <c r="P39" i="17"/>
  <c r="Q39" i="17"/>
  <c r="R39" i="17"/>
  <c r="L46" i="17"/>
  <c r="M46" i="17"/>
  <c r="N46" i="17"/>
  <c r="O46" i="17"/>
  <c r="P46" i="17"/>
  <c r="Q46" i="17"/>
  <c r="R46" i="17"/>
  <c r="D10" i="17"/>
  <c r="H46" i="17"/>
  <c r="G56" i="17"/>
  <c r="F56" i="17"/>
  <c r="F46" i="17" s="1"/>
  <c r="E56" i="17"/>
  <c r="E46" i="17" s="1"/>
  <c r="D56" i="17"/>
  <c r="D46" i="17" s="1"/>
  <c r="K46" i="17"/>
  <c r="J46" i="17"/>
  <c r="I46" i="17"/>
  <c r="G46" i="17"/>
  <c r="K39" i="17"/>
  <c r="J39" i="17"/>
  <c r="I39" i="17"/>
  <c r="G40" i="17"/>
  <c r="F39" i="17"/>
  <c r="E39" i="17"/>
  <c r="H39" i="17"/>
  <c r="G39" i="17"/>
  <c r="D39" i="17"/>
  <c r="K33" i="17"/>
  <c r="I33" i="17"/>
  <c r="H33" i="17"/>
  <c r="G34" i="17"/>
  <c r="G33" i="17" s="1"/>
  <c r="E34" i="17"/>
  <c r="D34" i="17"/>
  <c r="J33" i="17"/>
  <c r="H12" i="17"/>
  <c r="G29" i="17"/>
  <c r="G12" i="17" s="1"/>
  <c r="F12" i="17"/>
  <c r="E12" i="17"/>
  <c r="D12" i="17"/>
  <c r="K12" i="17"/>
  <c r="J12" i="17"/>
  <c r="I12" i="17"/>
  <c r="K63" i="16"/>
  <c r="J63" i="16"/>
  <c r="I63" i="16"/>
  <c r="I53" i="16" s="1"/>
  <c r="H63" i="16"/>
  <c r="H53" i="16" s="1"/>
  <c r="G63" i="16"/>
  <c r="G53" i="16" s="1"/>
  <c r="F63" i="16"/>
  <c r="F53" i="16" s="1"/>
  <c r="E63" i="16"/>
  <c r="E53" i="16" s="1"/>
  <c r="D63" i="16"/>
  <c r="D53" i="16" s="1"/>
  <c r="K53" i="16"/>
  <c r="J53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1" i="16"/>
  <c r="J41" i="16"/>
  <c r="J40" i="16" s="1"/>
  <c r="I41" i="16"/>
  <c r="I40" i="16" s="1"/>
  <c r="H41" i="16"/>
  <c r="H40" i="16" s="1"/>
  <c r="G41" i="16"/>
  <c r="F41" i="16"/>
  <c r="F40" i="16" s="1"/>
  <c r="E41" i="16"/>
  <c r="E40" i="16" s="1"/>
  <c r="D41" i="16"/>
  <c r="D40" i="16" s="1"/>
  <c r="K40" i="16"/>
  <c r="K39" i="16" s="1"/>
  <c r="G40" i="16"/>
  <c r="K36" i="16"/>
  <c r="K19" i="16" s="1"/>
  <c r="J36" i="16"/>
  <c r="I36" i="16"/>
  <c r="I19" i="16" s="1"/>
  <c r="H36" i="16"/>
  <c r="G36" i="16"/>
  <c r="G19" i="16" s="1"/>
  <c r="F36" i="16"/>
  <c r="E36" i="16"/>
  <c r="E19" i="16" s="1"/>
  <c r="D36" i="16"/>
  <c r="J19" i="16"/>
  <c r="H19" i="16"/>
  <c r="F19" i="16"/>
  <c r="D19" i="16"/>
  <c r="EA49" i="15"/>
  <c r="DY49" i="15"/>
  <c r="DX49" i="15"/>
  <c r="DX45" i="15" s="1"/>
  <c r="DX44" i="15" s="1"/>
  <c r="DX37" i="15" s="1"/>
  <c r="DX17" i="15" s="1"/>
  <c r="DX16" i="15" s="1"/>
  <c r="DW49" i="15"/>
  <c r="DW45" i="15" s="1"/>
  <c r="DW44" i="15" s="1"/>
  <c r="DW37" i="15" s="1"/>
  <c r="DW17" i="15" s="1"/>
  <c r="DW16" i="15" s="1"/>
  <c r="DV49" i="15"/>
  <c r="DV45" i="15" s="1"/>
  <c r="DV44" i="15" s="1"/>
  <c r="DV37" i="15" s="1"/>
  <c r="DV17" i="15" s="1"/>
  <c r="DV16" i="15" s="1"/>
  <c r="DU49" i="15"/>
  <c r="DT49" i="15"/>
  <c r="DT45" i="15" s="1"/>
  <c r="DT44" i="15" s="1"/>
  <c r="DT37" i="15" s="1"/>
  <c r="DT17" i="15" s="1"/>
  <c r="DT16" i="15" s="1"/>
  <c r="DL39" i="15"/>
  <c r="DL38" i="15" s="1"/>
  <c r="EA40" i="15"/>
  <c r="DY40" i="15"/>
  <c r="DX40" i="15"/>
  <c r="DW40" i="15"/>
  <c r="DV40" i="15"/>
  <c r="DU40" i="15"/>
  <c r="DT40" i="15"/>
  <c r="DS39" i="15"/>
  <c r="DS38" i="15" s="1"/>
  <c r="DQ39" i="15"/>
  <c r="DQ38" i="15" s="1"/>
  <c r="DP39" i="15"/>
  <c r="DP38" i="15" s="1"/>
  <c r="DO39" i="15"/>
  <c r="DO38" i="15" s="1"/>
  <c r="DN39" i="15"/>
  <c r="DN38" i="15" s="1"/>
  <c r="DM39" i="15"/>
  <c r="DM38" i="15" s="1"/>
  <c r="DM18" i="15"/>
  <c r="DN18" i="15"/>
  <c r="DO18" i="15"/>
  <c r="DP18" i="15"/>
  <c r="DL18" i="15"/>
  <c r="BE61" i="15"/>
  <c r="BD61" i="15"/>
  <c r="BC61" i="15"/>
  <c r="BB61" i="15"/>
  <c r="BA61" i="15"/>
  <c r="AZ61" i="15"/>
  <c r="AY61" i="15"/>
  <c r="AW61" i="15"/>
  <c r="AV61" i="15"/>
  <c r="AU61" i="15"/>
  <c r="AT61" i="15"/>
  <c r="AS61" i="15"/>
  <c r="AR61" i="15"/>
  <c r="AQ61" i="15"/>
  <c r="AO61" i="15"/>
  <c r="AN61" i="15"/>
  <c r="AM61" i="15"/>
  <c r="AL61" i="15"/>
  <c r="AK61" i="15"/>
  <c r="AJ61" i="15"/>
  <c r="AI61" i="15"/>
  <c r="AG61" i="15"/>
  <c r="AF61" i="15"/>
  <c r="AE61" i="15"/>
  <c r="AD61" i="15"/>
  <c r="AC61" i="15"/>
  <c r="AB61" i="15"/>
  <c r="AA61" i="15"/>
  <c r="Y61" i="15"/>
  <c r="X61" i="15"/>
  <c r="W61" i="15"/>
  <c r="V61" i="15"/>
  <c r="U61" i="15"/>
  <c r="T61" i="15"/>
  <c r="S61" i="15"/>
  <c r="Q61" i="15"/>
  <c r="P61" i="15"/>
  <c r="O61" i="15"/>
  <c r="N61" i="15"/>
  <c r="M61" i="15"/>
  <c r="L61" i="15"/>
  <c r="K61" i="15"/>
  <c r="I61" i="15"/>
  <c r="H61" i="15"/>
  <c r="G61" i="15"/>
  <c r="F61" i="15"/>
  <c r="E61" i="15"/>
  <c r="D61" i="15"/>
  <c r="AK18" i="15"/>
  <c r="AJ18" i="15"/>
  <c r="AI18" i="15"/>
  <c r="AG18" i="15"/>
  <c r="AF18" i="15"/>
  <c r="AE18" i="15"/>
  <c r="AD18" i="15"/>
  <c r="AC18" i="15"/>
  <c r="AB18" i="15"/>
  <c r="AA18" i="15"/>
  <c r="Y18" i="15"/>
  <c r="X18" i="15"/>
  <c r="W18" i="15"/>
  <c r="V18" i="15"/>
  <c r="U18" i="15"/>
  <c r="T18" i="15"/>
  <c r="S18" i="15"/>
  <c r="Q18" i="15"/>
  <c r="P18" i="15"/>
  <c r="O18" i="15"/>
  <c r="N18" i="15"/>
  <c r="L18" i="15"/>
  <c r="K18" i="15"/>
  <c r="I18" i="15"/>
  <c r="H18" i="15"/>
  <c r="G18" i="15"/>
  <c r="F18" i="15"/>
  <c r="E18" i="15"/>
  <c r="D18" i="15"/>
  <c r="BE18" i="15"/>
  <c r="BD18" i="15"/>
  <c r="BC18" i="15"/>
  <c r="BB18" i="15"/>
  <c r="BA18" i="15"/>
  <c r="AZ18" i="15"/>
  <c r="AY18" i="15"/>
  <c r="AW18" i="15"/>
  <c r="AV18" i="15"/>
  <c r="AU18" i="15"/>
  <c r="AT18" i="15"/>
  <c r="AS18" i="15"/>
  <c r="AR18" i="15"/>
  <c r="AQ18" i="15"/>
  <c r="AO18" i="15"/>
  <c r="AN18" i="15"/>
  <c r="AM18" i="15"/>
  <c r="AL18" i="15"/>
  <c r="M18" i="15"/>
  <c r="BF62" i="14"/>
  <c r="BG62" i="14"/>
  <c r="BH62" i="14"/>
  <c r="BI62" i="14"/>
  <c r="BJ62" i="14"/>
  <c r="BL62" i="14"/>
  <c r="BF19" i="14"/>
  <c r="BG19" i="14"/>
  <c r="BH19" i="14"/>
  <c r="BI19" i="14"/>
  <c r="BJ19" i="14"/>
  <c r="BL19" i="14"/>
  <c r="AH62" i="14"/>
  <c r="AJ62" i="14"/>
  <c r="AG62" i="14"/>
  <c r="AF62" i="14"/>
  <c r="AE62" i="14"/>
  <c r="AD62" i="14"/>
  <c r="AC62" i="14"/>
  <c r="AA62" i="14"/>
  <c r="Z62" i="14"/>
  <c r="Y62" i="14"/>
  <c r="X62" i="14"/>
  <c r="W62" i="14"/>
  <c r="V62" i="14"/>
  <c r="T62" i="14"/>
  <c r="S62" i="14"/>
  <c r="R62" i="14"/>
  <c r="Q62" i="14"/>
  <c r="P62" i="14"/>
  <c r="P52" i="14" s="1"/>
  <c r="O62" i="14"/>
  <c r="O52" i="14" s="1"/>
  <c r="N62" i="14"/>
  <c r="N52" i="14" s="1"/>
  <c r="M62" i="14"/>
  <c r="M52" i="14" s="1"/>
  <c r="L62" i="14"/>
  <c r="L52" i="14" s="1"/>
  <c r="K62" i="14"/>
  <c r="K52" i="14" s="1"/>
  <c r="J62" i="14"/>
  <c r="J52" i="14" s="1"/>
  <c r="I62" i="14"/>
  <c r="I52" i="14" s="1"/>
  <c r="H62" i="14"/>
  <c r="H52" i="14" s="1"/>
  <c r="G62" i="14"/>
  <c r="G52" i="14" s="1"/>
  <c r="F62" i="14"/>
  <c r="F52" i="14" s="1"/>
  <c r="E62" i="14"/>
  <c r="E52" i="14" s="1"/>
  <c r="D62" i="14"/>
  <c r="D52" i="14" s="1"/>
  <c r="P45" i="14"/>
  <c r="N45" i="14"/>
  <c r="M45" i="14"/>
  <c r="L45" i="14"/>
  <c r="K45" i="14"/>
  <c r="J45" i="14"/>
  <c r="I45" i="14"/>
  <c r="H45" i="14"/>
  <c r="G45" i="14"/>
  <c r="F45" i="14"/>
  <c r="E45" i="14"/>
  <c r="O45" i="14"/>
  <c r="D45" i="14"/>
  <c r="P40" i="14"/>
  <c r="P39" i="14" s="1"/>
  <c r="O40" i="14"/>
  <c r="O39" i="14" s="1"/>
  <c r="N40" i="14"/>
  <c r="N39" i="14" s="1"/>
  <c r="M40" i="14"/>
  <c r="M39" i="14" s="1"/>
  <c r="L40" i="14"/>
  <c r="L39" i="14" s="1"/>
  <c r="K40" i="14"/>
  <c r="K39" i="14" s="1"/>
  <c r="J40" i="14"/>
  <c r="J39" i="14" s="1"/>
  <c r="I40" i="14"/>
  <c r="I39" i="14" s="1"/>
  <c r="H40" i="14"/>
  <c r="H39" i="14" s="1"/>
  <c r="G40" i="14"/>
  <c r="G39" i="14" s="1"/>
  <c r="F40" i="14"/>
  <c r="F39" i="14" s="1"/>
  <c r="E40" i="14"/>
  <c r="E39" i="14" s="1"/>
  <c r="D40" i="14"/>
  <c r="D39" i="14" s="1"/>
  <c r="AD19" i="14"/>
  <c r="AJ19" i="14"/>
  <c r="AE19" i="14"/>
  <c r="AC19" i="14"/>
  <c r="Z19" i="14"/>
  <c r="Y19" i="14"/>
  <c r="X19" i="14"/>
  <c r="V19" i="14"/>
  <c r="T19" i="14"/>
  <c r="S19" i="14"/>
  <c r="Q19" i="14"/>
  <c r="P19" i="14"/>
  <c r="O36" i="14"/>
  <c r="O19" i="14" s="1"/>
  <c r="N36" i="14"/>
  <c r="N19" i="14" s="1"/>
  <c r="M36" i="14"/>
  <c r="M19" i="14" s="1"/>
  <c r="L36" i="14"/>
  <c r="K36" i="14"/>
  <c r="K19" i="14" s="1"/>
  <c r="J36" i="14"/>
  <c r="I36" i="14"/>
  <c r="I19" i="14" s="1"/>
  <c r="H36" i="14"/>
  <c r="H19" i="14" s="1"/>
  <c r="G36" i="14"/>
  <c r="G19" i="14" s="1"/>
  <c r="F36" i="14"/>
  <c r="F19" i="14" s="1"/>
  <c r="E36" i="14"/>
  <c r="E19" i="14" s="1"/>
  <c r="D36" i="14"/>
  <c r="D19" i="14" s="1"/>
  <c r="AH19" i="14"/>
  <c r="AG19" i="14"/>
  <c r="AF19" i="14"/>
  <c r="AA19" i="14"/>
  <c r="W19" i="14"/>
  <c r="R19" i="14"/>
  <c r="L19" i="14"/>
  <c r="J19" i="14"/>
  <c r="AK62" i="11"/>
  <c r="AJ62" i="11"/>
  <c r="AG62" i="11"/>
  <c r="AG48" i="11"/>
  <c r="AL39" i="11"/>
  <c r="AL38" i="11" s="1"/>
  <c r="AL18" i="11" s="1"/>
  <c r="AL17" i="11" s="1"/>
  <c r="AJ39" i="11"/>
  <c r="AJ38" i="11" s="1"/>
  <c r="AJ18" i="11" s="1"/>
  <c r="AJ17" i="11" s="1"/>
  <c r="AH39" i="11"/>
  <c r="AH38" i="11" s="1"/>
  <c r="AH18" i="11" s="1"/>
  <c r="AH17" i="11" s="1"/>
  <c r="AG41" i="11"/>
  <c r="AG39" i="11" s="1"/>
  <c r="AG38" i="11" s="1"/>
  <c r="AG18" i="11" s="1"/>
  <c r="AG17" i="11" s="1"/>
  <c r="AK19" i="11"/>
  <c r="AN62" i="11"/>
  <c r="AL62" i="11"/>
  <c r="AI62" i="11"/>
  <c r="AH62" i="11"/>
  <c r="AF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E39" i="11"/>
  <c r="E38" i="11" s="1"/>
  <c r="E18" i="11" s="1"/>
  <c r="E17" i="11" s="1"/>
  <c r="AN39" i="11"/>
  <c r="AN38" i="11" s="1"/>
  <c r="AK39" i="11"/>
  <c r="AK38" i="11" s="1"/>
  <c r="AK18" i="11" s="1"/>
  <c r="AK17" i="11" s="1"/>
  <c r="AI39" i="11"/>
  <c r="AI38" i="11" s="1"/>
  <c r="AI18" i="11" s="1"/>
  <c r="AI17" i="11" s="1"/>
  <c r="AF39" i="11"/>
  <c r="AD39" i="11"/>
  <c r="AC39" i="11"/>
  <c r="AB39" i="11"/>
  <c r="AA39" i="11"/>
  <c r="Z39" i="11"/>
  <c r="Z38" i="11" s="1"/>
  <c r="Z18" i="11" s="1"/>
  <c r="Z17" i="11" s="1"/>
  <c r="Y39" i="11"/>
  <c r="Y38" i="11" s="1"/>
  <c r="Y18" i="11" s="1"/>
  <c r="Y17" i="11" s="1"/>
  <c r="W39" i="11"/>
  <c r="W38" i="11" s="1"/>
  <c r="W18" i="11" s="1"/>
  <c r="W17" i="11" s="1"/>
  <c r="V39" i="11"/>
  <c r="V38" i="11" s="1"/>
  <c r="V18" i="11" s="1"/>
  <c r="V17" i="11" s="1"/>
  <c r="U39" i="11"/>
  <c r="U38" i="11" s="1"/>
  <c r="U18" i="11" s="1"/>
  <c r="U17" i="11" s="1"/>
  <c r="T39" i="11"/>
  <c r="T38" i="11" s="1"/>
  <c r="T18" i="11" s="1"/>
  <c r="T17" i="11" s="1"/>
  <c r="S39" i="11"/>
  <c r="S38" i="11" s="1"/>
  <c r="S18" i="11" s="1"/>
  <c r="S17" i="11" s="1"/>
  <c r="R39" i="11"/>
  <c r="R38" i="11" s="1"/>
  <c r="R18" i="11" s="1"/>
  <c r="R17" i="11" s="1"/>
  <c r="Q39" i="11"/>
  <c r="Q38" i="11" s="1"/>
  <c r="Q18" i="11" s="1"/>
  <c r="Q17" i="11" s="1"/>
  <c r="P39" i="11"/>
  <c r="P38" i="11" s="1"/>
  <c r="P18" i="11" s="1"/>
  <c r="P17" i="11" s="1"/>
  <c r="O39" i="11"/>
  <c r="O38" i="11" s="1"/>
  <c r="O18" i="11" s="1"/>
  <c r="O17" i="11" s="1"/>
  <c r="N39" i="11"/>
  <c r="N38" i="11" s="1"/>
  <c r="N18" i="11" s="1"/>
  <c r="N17" i="11" s="1"/>
  <c r="M39" i="11"/>
  <c r="M38" i="11" s="1"/>
  <c r="M18" i="11" s="1"/>
  <c r="M17" i="11" s="1"/>
  <c r="L39" i="11"/>
  <c r="L38" i="11" s="1"/>
  <c r="L18" i="11" s="1"/>
  <c r="L17" i="11" s="1"/>
  <c r="K39" i="11"/>
  <c r="K38" i="11" s="1"/>
  <c r="K18" i="11" s="1"/>
  <c r="K17" i="11" s="1"/>
  <c r="J39" i="11"/>
  <c r="J38" i="11" s="1"/>
  <c r="J18" i="11" s="1"/>
  <c r="J17" i="11" s="1"/>
  <c r="I39" i="11"/>
  <c r="I38" i="11" s="1"/>
  <c r="I18" i="11" s="1"/>
  <c r="I17" i="11" s="1"/>
  <c r="H39" i="11"/>
  <c r="H38" i="11" s="1"/>
  <c r="H18" i="11" s="1"/>
  <c r="H17" i="11" s="1"/>
  <c r="G39" i="11"/>
  <c r="G38" i="11" s="1"/>
  <c r="G18" i="11" s="1"/>
  <c r="G17" i="11" s="1"/>
  <c r="F39" i="11"/>
  <c r="F38" i="11" s="1"/>
  <c r="F18" i="11" s="1"/>
  <c r="F17" i="11" s="1"/>
  <c r="D39" i="11"/>
  <c r="X39" i="11"/>
  <c r="X38" i="11" s="1"/>
  <c r="X18" i="11" s="1"/>
  <c r="X17" i="11" s="1"/>
  <c r="AH19" i="11"/>
  <c r="AL19" i="11"/>
  <c r="AI19" i="11"/>
  <c r="AG19" i="11"/>
  <c r="AF19" i="11"/>
  <c r="AD19" i="11"/>
  <c r="Z19" i="11"/>
  <c r="X19" i="11"/>
  <c r="V19" i="11"/>
  <c r="T19" i="11"/>
  <c r="Q19" i="11"/>
  <c r="P19" i="11"/>
  <c r="O19" i="11"/>
  <c r="N19" i="11"/>
  <c r="M19" i="11"/>
  <c r="I19" i="11"/>
  <c r="H19" i="11"/>
  <c r="G19" i="11"/>
  <c r="AC19" i="11"/>
  <c r="AA19" i="11"/>
  <c r="Y19" i="11"/>
  <c r="W19" i="11"/>
  <c r="S19" i="11"/>
  <c r="R19" i="11"/>
  <c r="L19" i="11"/>
  <c r="K19" i="11"/>
  <c r="J19" i="11"/>
  <c r="F19" i="11"/>
  <c r="DD50" i="10"/>
  <c r="DH19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AA62" i="10"/>
  <c r="AB62" i="10"/>
  <c r="AC62" i="10"/>
  <c r="AD62" i="10"/>
  <c r="AE62" i="10"/>
  <c r="AF62" i="10"/>
  <c r="AG62" i="10"/>
  <c r="AI62" i="10"/>
  <c r="AJ62" i="10"/>
  <c r="AK62" i="10"/>
  <c r="AL62" i="10"/>
  <c r="AM62" i="10"/>
  <c r="AN62" i="10"/>
  <c r="AO62" i="10"/>
  <c r="AQ62" i="10"/>
  <c r="AR62" i="10"/>
  <c r="AS62" i="10"/>
  <c r="AT62" i="10"/>
  <c r="AU62" i="10"/>
  <c r="AV62" i="10"/>
  <c r="AW62" i="10"/>
  <c r="AY62" i="10"/>
  <c r="AZ62" i="10"/>
  <c r="BA62" i="10"/>
  <c r="BB62" i="10"/>
  <c r="BC62" i="10"/>
  <c r="BD62" i="10"/>
  <c r="BE62" i="10"/>
  <c r="BG62" i="10"/>
  <c r="BH62" i="10"/>
  <c r="BI62" i="10"/>
  <c r="BJ62" i="10"/>
  <c r="BK62" i="10"/>
  <c r="BL62" i="10"/>
  <c r="BM62" i="10"/>
  <c r="BO62" i="10"/>
  <c r="CV62" i="10"/>
  <c r="CW62" i="10"/>
  <c r="CX62" i="10"/>
  <c r="CY62" i="10"/>
  <c r="CZ62" i="10"/>
  <c r="DA62" i="10"/>
  <c r="DC62" i="10"/>
  <c r="DD62" i="10"/>
  <c r="DE62" i="10"/>
  <c r="F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V19" i="10"/>
  <c r="W19" i="10"/>
  <c r="X19" i="10"/>
  <c r="Y19" i="10"/>
  <c r="AA19" i="10"/>
  <c r="AB19" i="10"/>
  <c r="AD19" i="10"/>
  <c r="AF19" i="10"/>
  <c r="AG19" i="10"/>
  <c r="AI19" i="10"/>
  <c r="AJ19" i="10"/>
  <c r="AK19" i="10"/>
  <c r="AL19" i="10"/>
  <c r="AM19" i="10"/>
  <c r="AN19" i="10"/>
  <c r="AO19" i="10"/>
  <c r="AQ19" i="10"/>
  <c r="AR19" i="10"/>
  <c r="AS19" i="10"/>
  <c r="AT19" i="10"/>
  <c r="AU19" i="10"/>
  <c r="AV19" i="10"/>
  <c r="AY19" i="10"/>
  <c r="AZ19" i="10"/>
  <c r="BA19" i="10"/>
  <c r="BB19" i="10"/>
  <c r="BC19" i="10"/>
  <c r="BD19" i="10"/>
  <c r="BE19" i="10"/>
  <c r="BG19" i="10"/>
  <c r="BH19" i="10"/>
  <c r="BI19" i="10"/>
  <c r="BJ19" i="10"/>
  <c r="BK19" i="10"/>
  <c r="BL19" i="10"/>
  <c r="BM19" i="10"/>
  <c r="BO19" i="10"/>
  <c r="CV19" i="10"/>
  <c r="CX19" i="10"/>
  <c r="CY19" i="10"/>
  <c r="CZ19" i="10"/>
  <c r="DA19" i="10"/>
  <c r="DC19" i="10"/>
  <c r="DD19" i="10"/>
  <c r="DF19" i="10"/>
  <c r="DG19" i="10"/>
  <c r="DI19" i="10"/>
  <c r="DK19" i="10"/>
  <c r="G19" i="10"/>
  <c r="AE19" i="10"/>
  <c r="AW19" i="10"/>
  <c r="D62" i="10"/>
  <c r="DO45" i="15" l="1"/>
  <c r="DL45" i="15"/>
  <c r="DL44" i="15" s="1"/>
  <c r="DL37" i="15" s="1"/>
  <c r="DL17" i="15" s="1"/>
  <c r="DL16" i="15" s="1"/>
  <c r="DP45" i="15"/>
  <c r="DP44" i="15" s="1"/>
  <c r="DP37" i="15" s="1"/>
  <c r="DP17" i="15" s="1"/>
  <c r="DP16" i="15" s="1"/>
  <c r="DU45" i="15"/>
  <c r="DU44" i="15" s="1"/>
  <c r="DU37" i="15" s="1"/>
  <c r="DU17" i="15" s="1"/>
  <c r="DU16" i="15" s="1"/>
  <c r="DY45" i="15"/>
  <c r="DY44" i="15" s="1"/>
  <c r="DY37" i="15" s="1"/>
  <c r="DY17" i="15" s="1"/>
  <c r="DY16" i="15" s="1"/>
  <c r="DM45" i="15"/>
  <c r="DM44" i="15" s="1"/>
  <c r="DM37" i="15" s="1"/>
  <c r="DM17" i="15" s="1"/>
  <c r="DM16" i="15" s="1"/>
  <c r="DQ45" i="15"/>
  <c r="DQ44" i="15" s="1"/>
  <c r="DQ37" i="15" s="1"/>
  <c r="DQ17" i="15" s="1"/>
  <c r="DQ16" i="15" s="1"/>
  <c r="EA45" i="15"/>
  <c r="EA44" i="15" s="1"/>
  <c r="EA37" i="15" s="1"/>
  <c r="EA17" i="15" s="1"/>
  <c r="EA16" i="15" s="1"/>
  <c r="DN45" i="15"/>
  <c r="DN44" i="15" s="1"/>
  <c r="DN37" i="15" s="1"/>
  <c r="DN17" i="15" s="1"/>
  <c r="DN16" i="15" s="1"/>
  <c r="DS45" i="15"/>
  <c r="DS44" i="15" s="1"/>
  <c r="DS37" i="15" s="1"/>
  <c r="DS17" i="15" s="1"/>
  <c r="DS16" i="15" s="1"/>
  <c r="AD38" i="11"/>
  <c r="AD18" i="11" s="1"/>
  <c r="AD17" i="11" s="1"/>
  <c r="AC38" i="11"/>
  <c r="AC18" i="11" s="1"/>
  <c r="AC17" i="11" s="1"/>
  <c r="AA38" i="11"/>
  <c r="AA18" i="11" s="1"/>
  <c r="AA17" i="11" s="1"/>
  <c r="AF38" i="11"/>
  <c r="AF18" i="11" s="1"/>
  <c r="AF17" i="11" s="1"/>
  <c r="AB38" i="11"/>
  <c r="AB18" i="11" s="1"/>
  <c r="AB17" i="11" s="1"/>
  <c r="K46" i="20"/>
  <c r="P39" i="8"/>
  <c r="S13" i="20"/>
  <c r="S12" i="20" s="1"/>
  <c r="F46" i="20"/>
  <c r="W13" i="20"/>
  <c r="W12" i="20" s="1"/>
  <c r="O13" i="20"/>
  <c r="O12" i="20" s="1"/>
  <c r="U34" i="20"/>
  <c r="U13" i="20" s="1"/>
  <c r="U12" i="20" s="1"/>
  <c r="I33" i="19"/>
  <c r="D38" i="14"/>
  <c r="H38" i="14"/>
  <c r="H18" i="14" s="1"/>
  <c r="H17" i="14" s="1"/>
  <c r="P18" i="14"/>
  <c r="P17" i="14" s="1"/>
  <c r="X13" i="20"/>
  <c r="X12" i="20" s="1"/>
  <c r="Q13" i="20"/>
  <c r="Q12" i="20" s="1"/>
  <c r="Z13" i="20"/>
  <c r="Z12" i="20" s="1"/>
  <c r="V13" i="20"/>
  <c r="V12" i="20" s="1"/>
  <c r="R13" i="20"/>
  <c r="R12" i="20" s="1"/>
  <c r="N13" i="20"/>
  <c r="N12" i="20" s="1"/>
  <c r="P13" i="20"/>
  <c r="P12" i="20" s="1"/>
  <c r="Y13" i="20"/>
  <c r="Y12" i="20" s="1"/>
  <c r="T13" i="20"/>
  <c r="T12" i="20" s="1"/>
  <c r="G33" i="19"/>
  <c r="K33" i="19"/>
  <c r="J33" i="19"/>
  <c r="DE75" i="10"/>
  <c r="P32" i="17"/>
  <c r="I32" i="17"/>
  <c r="I11" i="17" s="1"/>
  <c r="I10" i="17" s="1"/>
  <c r="K32" i="17"/>
  <c r="K11" i="17" s="1"/>
  <c r="K10" i="17" s="1"/>
  <c r="J32" i="17"/>
  <c r="J11" i="17" s="1"/>
  <c r="J10" i="17" s="1"/>
  <c r="H32" i="17"/>
  <c r="H11" i="17" s="1"/>
  <c r="H10" i="17" s="1"/>
  <c r="G32" i="17"/>
  <c r="G11" i="17" s="1"/>
  <c r="G10" i="17" s="1"/>
  <c r="G39" i="16"/>
  <c r="I31" i="20"/>
  <c r="I14" i="20" s="1"/>
  <c r="D41" i="20"/>
  <c r="H33" i="19"/>
  <c r="Y34" i="18"/>
  <c r="Y13" i="18" s="1"/>
  <c r="Y12" i="18" s="1"/>
  <c r="AB34" i="18"/>
  <c r="AB13" i="18" s="1"/>
  <c r="AB12" i="18" s="1"/>
  <c r="X34" i="18"/>
  <c r="X13" i="18" s="1"/>
  <c r="X12" i="18" s="1"/>
  <c r="T34" i="18"/>
  <c r="T13" i="18" s="1"/>
  <c r="T12" i="18" s="1"/>
  <c r="U34" i="18"/>
  <c r="U13" i="18" s="1"/>
  <c r="U12" i="18" s="1"/>
  <c r="AE34" i="18"/>
  <c r="AE13" i="18" s="1"/>
  <c r="AE12" i="18" s="1"/>
  <c r="AA34" i="18"/>
  <c r="AA13" i="18" s="1"/>
  <c r="AA12" i="18" s="1"/>
  <c r="W34" i="18"/>
  <c r="W13" i="18" s="1"/>
  <c r="W12" i="18" s="1"/>
  <c r="S34" i="18"/>
  <c r="S13" i="18" s="1"/>
  <c r="S12" i="18" s="1"/>
  <c r="AD34" i="18"/>
  <c r="AD13" i="18" s="1"/>
  <c r="AD12" i="18" s="1"/>
  <c r="Z34" i="18"/>
  <c r="Z13" i="18" s="1"/>
  <c r="Z12" i="18" s="1"/>
  <c r="V34" i="18"/>
  <c r="V13" i="18" s="1"/>
  <c r="V12" i="18" s="1"/>
  <c r="AC13" i="18"/>
  <c r="AC12" i="18" s="1"/>
  <c r="H34" i="18"/>
  <c r="P34" i="18"/>
  <c r="P13" i="18" s="1"/>
  <c r="P12" i="18" s="1"/>
  <c r="J34" i="18"/>
  <c r="N34" i="18"/>
  <c r="N13" i="18" s="1"/>
  <c r="N12" i="18" s="1"/>
  <c r="R34" i="18"/>
  <c r="R13" i="18" s="1"/>
  <c r="R12" i="18" s="1"/>
  <c r="I34" i="18"/>
  <c r="Q34" i="18"/>
  <c r="Q13" i="18" s="1"/>
  <c r="Q12" i="18" s="1"/>
  <c r="G34" i="18"/>
  <c r="K34" i="18"/>
  <c r="O34" i="18"/>
  <c r="O13" i="18" s="1"/>
  <c r="O12" i="18" s="1"/>
  <c r="O32" i="17"/>
  <c r="O11" i="17" s="1"/>
  <c r="O10" i="17" s="1"/>
  <c r="R32" i="17"/>
  <c r="R11" i="17" s="1"/>
  <c r="R10" i="17" s="1"/>
  <c r="N32" i="17"/>
  <c r="N11" i="17" s="1"/>
  <c r="N10" i="17" s="1"/>
  <c r="Q32" i="17"/>
  <c r="Q11" i="17" s="1"/>
  <c r="Q10" i="17" s="1"/>
  <c r="P11" i="17"/>
  <c r="P10" i="17" s="1"/>
  <c r="L32" i="17"/>
  <c r="L11" i="17" s="1"/>
  <c r="L10" i="17" s="1"/>
  <c r="F10" i="17"/>
  <c r="E10" i="17"/>
  <c r="H39" i="16"/>
  <c r="H18" i="16" s="1"/>
  <c r="H17" i="16" s="1"/>
  <c r="E39" i="16"/>
  <c r="E18" i="16" s="1"/>
  <c r="E17" i="16" s="1"/>
  <c r="I39" i="16"/>
  <c r="I18" i="16" s="1"/>
  <c r="I17" i="16" s="1"/>
  <c r="D39" i="16"/>
  <c r="D18" i="16" s="1"/>
  <c r="D17" i="16" s="1"/>
  <c r="G18" i="16"/>
  <c r="G17" i="16" s="1"/>
  <c r="F39" i="16"/>
  <c r="F18" i="16" s="1"/>
  <c r="F17" i="16" s="1"/>
  <c r="J39" i="16"/>
  <c r="J18" i="16" s="1"/>
  <c r="J17" i="16" s="1"/>
  <c r="K18" i="16"/>
  <c r="K17" i="16" s="1"/>
  <c r="M38" i="14"/>
  <c r="M18" i="14" s="1"/>
  <c r="M17" i="14" s="1"/>
  <c r="O38" i="14"/>
  <c r="O18" i="14" s="1"/>
  <c r="O17" i="14" s="1"/>
  <c r="G38" i="14"/>
  <c r="G18" i="14" s="1"/>
  <c r="G17" i="14" s="1"/>
  <c r="F38" i="14"/>
  <c r="F18" i="14" s="1"/>
  <c r="F17" i="14" s="1"/>
  <c r="J38" i="14"/>
  <c r="J18" i="14" s="1"/>
  <c r="J17" i="14" s="1"/>
  <c r="N38" i="14"/>
  <c r="N18" i="14" s="1"/>
  <c r="N17" i="14" s="1"/>
  <c r="L38" i="14"/>
  <c r="L18" i="14" s="1"/>
  <c r="L17" i="14" s="1"/>
  <c r="D18" i="14"/>
  <c r="D17" i="14" s="1"/>
  <c r="K38" i="14"/>
  <c r="K18" i="14" s="1"/>
  <c r="K17" i="14" s="1"/>
  <c r="I38" i="14"/>
  <c r="I18" i="14" s="1"/>
  <c r="I17" i="14" s="1"/>
  <c r="E38" i="14"/>
  <c r="E18" i="14" s="1"/>
  <c r="E17" i="14" s="1"/>
  <c r="E19" i="11"/>
  <c r="D19" i="11"/>
  <c r="AB19" i="11"/>
  <c r="U19" i="11"/>
  <c r="DO44" i="15" l="1"/>
  <c r="DO37" i="15" s="1"/>
  <c r="DO17" i="15" s="1"/>
  <c r="DO16" i="15" s="1"/>
  <c r="F41" i="20"/>
  <c r="I46" i="20"/>
  <c r="I41" i="20" s="1"/>
  <c r="AD39" i="8"/>
  <c r="AJ19" i="11"/>
  <c r="K69" i="20"/>
  <c r="F31" i="20"/>
  <c r="F14" i="20" s="1"/>
  <c r="K41" i="20"/>
  <c r="K31" i="20"/>
  <c r="K14" i="20" s="1"/>
  <c r="M31" i="20"/>
  <c r="M14" i="20" s="1"/>
  <c r="D17" i="11"/>
  <c r="AN39" i="8" l="1"/>
  <c r="M41" i="20"/>
  <c r="E19" i="10"/>
  <c r="D19" i="10"/>
  <c r="AC19" i="10"/>
  <c r="DE19" i="10"/>
  <c r="CW19" i="10"/>
  <c r="U19" i="10"/>
  <c r="E41" i="10" l="1"/>
  <c r="AS41" i="10" l="1"/>
  <c r="D45" i="10"/>
  <c r="R17" i="4"/>
  <c r="S17" i="4"/>
  <c r="P17" i="4"/>
  <c r="H17" i="4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K60" i="8"/>
  <c r="AL60" i="8"/>
  <c r="AM60" i="8"/>
  <c r="AN60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F17" i="8"/>
  <c r="AK17" i="8"/>
  <c r="AL17" i="8"/>
  <c r="AM17" i="8"/>
  <c r="AN17" i="8"/>
  <c r="AE17" i="8"/>
  <c r="J17" i="8"/>
  <c r="J60" i="8"/>
  <c r="I60" i="8"/>
  <c r="H60" i="8"/>
  <c r="I17" i="8"/>
  <c r="H17" i="8"/>
  <c r="AN39" i="4"/>
  <c r="BW17" i="4"/>
  <c r="T17" i="4"/>
  <c r="I17" i="4"/>
  <c r="K17" i="4"/>
  <c r="L17" i="4"/>
  <c r="Q17" i="4"/>
  <c r="U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X17" i="4"/>
  <c r="BY17" i="4"/>
  <c r="BZ17" i="4"/>
  <c r="CA17" i="4"/>
  <c r="CB17" i="4"/>
  <c r="CC17" i="4"/>
  <c r="CD17" i="4"/>
  <c r="CE17" i="4"/>
  <c r="CF17" i="4"/>
  <c r="D36" i="2"/>
  <c r="D19" i="2" s="1"/>
  <c r="E36" i="2"/>
  <c r="E19" i="2" s="1"/>
  <c r="F36" i="2"/>
  <c r="F19" i="2" s="1"/>
  <c r="G36" i="2"/>
  <c r="G19" i="2" s="1"/>
  <c r="H36" i="2"/>
  <c r="H19" i="2" s="1"/>
  <c r="I36" i="2"/>
  <c r="I19" i="2" s="1"/>
  <c r="J36" i="2"/>
  <c r="J19" i="2" s="1"/>
  <c r="K36" i="2"/>
  <c r="K19" i="2" s="1"/>
  <c r="L36" i="2"/>
  <c r="L19" i="2" s="1"/>
  <c r="M36" i="2"/>
  <c r="M19" i="2" s="1"/>
  <c r="N36" i="2"/>
  <c r="N19" i="2" s="1"/>
  <c r="O36" i="2"/>
  <c r="O19" i="2" s="1"/>
  <c r="P36" i="2"/>
  <c r="P19" i="2" s="1"/>
  <c r="Q36" i="2"/>
  <c r="Q19" i="2" s="1"/>
  <c r="R36" i="2"/>
  <c r="R19" i="2" s="1"/>
  <c r="S36" i="2"/>
  <c r="S19" i="2" s="1"/>
  <c r="C36" i="2"/>
  <c r="C19" i="2" s="1"/>
  <c r="D36" i="1"/>
  <c r="D19" i="1" s="1"/>
  <c r="E36" i="1"/>
  <c r="E19" i="1" s="1"/>
  <c r="F36" i="1"/>
  <c r="F19" i="1" s="1"/>
  <c r="G36" i="1"/>
  <c r="G19" i="1" s="1"/>
  <c r="H36" i="1"/>
  <c r="H19" i="1" s="1"/>
  <c r="I36" i="1"/>
  <c r="I19" i="1" s="1"/>
  <c r="J36" i="1"/>
  <c r="J19" i="1" s="1"/>
  <c r="K36" i="1"/>
  <c r="K19" i="1" s="1"/>
  <c r="L36" i="1"/>
  <c r="L19" i="1" s="1"/>
  <c r="M36" i="1"/>
  <c r="M19" i="1" s="1"/>
  <c r="N36" i="1"/>
  <c r="N19" i="1" s="1"/>
  <c r="O36" i="1"/>
  <c r="O19" i="1" s="1"/>
  <c r="P36" i="1"/>
  <c r="P19" i="1" s="1"/>
  <c r="Q36" i="1"/>
  <c r="Q19" i="1" s="1"/>
  <c r="R36" i="1"/>
  <c r="R19" i="1" s="1"/>
  <c r="S36" i="1"/>
  <c r="S19" i="1" s="1"/>
  <c r="C36" i="1"/>
  <c r="C19" i="1" s="1"/>
  <c r="DE41" i="10" l="1"/>
  <c r="AQ39" i="4"/>
  <c r="F37" i="20"/>
  <c r="D35" i="20"/>
  <c r="K37" i="20" l="1"/>
  <c r="CE39" i="4"/>
  <c r="I37" i="20" l="1"/>
  <c r="CB39" i="4"/>
  <c r="BX60" i="4"/>
  <c r="BZ60" i="4"/>
  <c r="CA60" i="4"/>
  <c r="CC60" i="4"/>
  <c r="AX60" i="4"/>
  <c r="AN60" i="4"/>
  <c r="AI60" i="4"/>
  <c r="AD60" i="4"/>
  <c r="Y60" i="4"/>
  <c r="V60" i="4"/>
  <c r="W60" i="4"/>
  <c r="X60" i="4"/>
  <c r="Z60" i="4"/>
  <c r="AA60" i="4"/>
  <c r="AB60" i="4"/>
  <c r="AC60" i="4"/>
  <c r="AE60" i="4"/>
  <c r="AF60" i="4"/>
  <c r="AG60" i="4"/>
  <c r="AH60" i="4"/>
  <c r="AJ60" i="4"/>
  <c r="AK60" i="4"/>
  <c r="AL60" i="4"/>
  <c r="AM60" i="4"/>
  <c r="AO60" i="4"/>
  <c r="AP60" i="4"/>
  <c r="AQ60" i="4"/>
  <c r="AR60" i="4"/>
  <c r="AS60" i="4"/>
  <c r="AT60" i="4"/>
  <c r="AU60" i="4"/>
  <c r="AV60" i="4"/>
  <c r="AW60" i="4"/>
  <c r="AY60" i="4"/>
  <c r="AZ60" i="4"/>
  <c r="BA60" i="4"/>
  <c r="BB60" i="4"/>
  <c r="BY60" i="4"/>
  <c r="CD60" i="4"/>
  <c r="CE60" i="4"/>
  <c r="CF60" i="4"/>
  <c r="N44" i="4"/>
  <c r="O44" i="4"/>
  <c r="T60" i="4"/>
  <c r="U60" i="4"/>
  <c r="S60" i="4"/>
  <c r="R60" i="4"/>
  <c r="Q60" i="4"/>
  <c r="P60" i="4"/>
  <c r="O60" i="4"/>
  <c r="N60" i="4"/>
  <c r="C56" i="2"/>
  <c r="C50" i="2" s="1"/>
  <c r="D46" i="2"/>
  <c r="D45" i="2" s="1"/>
  <c r="C46" i="2"/>
  <c r="S56" i="2"/>
  <c r="S50" i="2" s="1"/>
  <c r="R56" i="2"/>
  <c r="Q56" i="2"/>
  <c r="Q50" i="2" s="1"/>
  <c r="P56" i="2"/>
  <c r="O56" i="2"/>
  <c r="O50" i="2" s="1"/>
  <c r="N56" i="2"/>
  <c r="M56" i="2"/>
  <c r="M50" i="2" s="1"/>
  <c r="L56" i="2"/>
  <c r="K56" i="2"/>
  <c r="K50" i="2" s="1"/>
  <c r="J56" i="2"/>
  <c r="J50" i="2" s="1"/>
  <c r="I56" i="2"/>
  <c r="I50" i="2" s="1"/>
  <c r="H56" i="2"/>
  <c r="G56" i="2"/>
  <c r="G50" i="2" s="1"/>
  <c r="F56" i="2"/>
  <c r="F50" i="2" s="1"/>
  <c r="E56" i="2"/>
  <c r="E50" i="2" s="1"/>
  <c r="D56" i="2"/>
  <c r="N50" i="2"/>
  <c r="S46" i="2"/>
  <c r="S45" i="2" s="1"/>
  <c r="R46" i="2"/>
  <c r="R45" i="2" s="1"/>
  <c r="Q46" i="2"/>
  <c r="Q45" i="2" s="1"/>
  <c r="P46" i="2"/>
  <c r="P45" i="2" s="1"/>
  <c r="O45" i="2"/>
  <c r="N45" i="2"/>
  <c r="M45" i="2"/>
  <c r="K45" i="2"/>
  <c r="J46" i="2"/>
  <c r="J45" i="2" s="1"/>
  <c r="I46" i="2"/>
  <c r="I45" i="2" s="1"/>
  <c r="H46" i="2"/>
  <c r="H45" i="2" s="1"/>
  <c r="G46" i="2"/>
  <c r="G45" i="2" s="1"/>
  <c r="F46" i="2"/>
  <c r="F45" i="2" s="1"/>
  <c r="E46" i="2"/>
  <c r="E45" i="2" s="1"/>
  <c r="C45" i="2"/>
  <c r="L45" i="2"/>
  <c r="S41" i="2"/>
  <c r="S40" i="2" s="1"/>
  <c r="R41" i="2"/>
  <c r="R40" i="2" s="1"/>
  <c r="Q41" i="2"/>
  <c r="Q40" i="2" s="1"/>
  <c r="P41" i="2"/>
  <c r="P40" i="2" s="1"/>
  <c r="O41" i="2"/>
  <c r="O40" i="2" s="1"/>
  <c r="N41" i="2"/>
  <c r="N40" i="2" s="1"/>
  <c r="M41" i="2"/>
  <c r="M40" i="2" s="1"/>
  <c r="L41" i="2"/>
  <c r="L40" i="2" s="1"/>
  <c r="K41" i="2"/>
  <c r="K40" i="2" s="1"/>
  <c r="J41" i="2"/>
  <c r="J40" i="2" s="1"/>
  <c r="I41" i="2"/>
  <c r="I40" i="2" s="1"/>
  <c r="H40" i="2"/>
  <c r="G40" i="2"/>
  <c r="F40" i="2"/>
  <c r="E40" i="2"/>
  <c r="D40" i="2"/>
  <c r="C41" i="2"/>
  <c r="C40" i="2" s="1"/>
  <c r="C41" i="1"/>
  <c r="C40" i="1" s="1"/>
  <c r="D41" i="1"/>
  <c r="D40" i="1" s="1"/>
  <c r="E41" i="1"/>
  <c r="E40" i="1" s="1"/>
  <c r="F41" i="1"/>
  <c r="F40" i="1" s="1"/>
  <c r="G41" i="1"/>
  <c r="G40" i="1" s="1"/>
  <c r="H41" i="1"/>
  <c r="H40" i="1" s="1"/>
  <c r="I41" i="1"/>
  <c r="I40" i="1" s="1"/>
  <c r="J41" i="1"/>
  <c r="J40" i="1" s="1"/>
  <c r="K41" i="1"/>
  <c r="K40" i="1" s="1"/>
  <c r="L41" i="1"/>
  <c r="L40" i="1" s="1"/>
  <c r="M41" i="1"/>
  <c r="M40" i="1" s="1"/>
  <c r="N41" i="1"/>
  <c r="N40" i="1" s="1"/>
  <c r="O41" i="1"/>
  <c r="O40" i="1" s="1"/>
  <c r="P41" i="1"/>
  <c r="P40" i="1" s="1"/>
  <c r="Q41" i="1"/>
  <c r="Q40" i="1" s="1"/>
  <c r="R41" i="1"/>
  <c r="R40" i="1" s="1"/>
  <c r="S41" i="1"/>
  <c r="S40" i="1" s="1"/>
  <c r="O45" i="1"/>
  <c r="P45" i="1"/>
  <c r="R45" i="1"/>
  <c r="S45" i="1"/>
  <c r="D45" i="1"/>
  <c r="E45" i="1"/>
  <c r="F45" i="1"/>
  <c r="G45" i="1"/>
  <c r="H45" i="1"/>
  <c r="I45" i="1"/>
  <c r="J45" i="1"/>
  <c r="K45" i="1"/>
  <c r="L45" i="1"/>
  <c r="M45" i="1"/>
  <c r="N45" i="1"/>
  <c r="Q45" i="1"/>
  <c r="C4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C54" i="1"/>
  <c r="C48" i="1"/>
  <c r="F39" i="2" l="1"/>
  <c r="F18" i="2" s="1"/>
  <c r="F17" i="2" s="1"/>
  <c r="BW60" i="4"/>
  <c r="S48" i="1"/>
  <c r="O48" i="1"/>
  <c r="O39" i="1" s="1"/>
  <c r="O18" i="1" s="1"/>
  <c r="O17" i="1" s="1"/>
  <c r="K48" i="1"/>
  <c r="K39" i="1" s="1"/>
  <c r="K18" i="1" s="1"/>
  <c r="K17" i="1" s="1"/>
  <c r="G48" i="1"/>
  <c r="G39" i="1" s="1"/>
  <c r="G18" i="1" s="1"/>
  <c r="G17" i="1" s="1"/>
  <c r="R50" i="2"/>
  <c r="R39" i="2" s="1"/>
  <c r="R18" i="2" s="1"/>
  <c r="R17" i="2" s="1"/>
  <c r="CB60" i="4"/>
  <c r="D50" i="2"/>
  <c r="D39" i="2" s="1"/>
  <c r="D18" i="2" s="1"/>
  <c r="D17" i="2" s="1"/>
  <c r="H50" i="2"/>
  <c r="H39" i="2" s="1"/>
  <c r="H18" i="2" s="1"/>
  <c r="H17" i="2" s="1"/>
  <c r="L50" i="2"/>
  <c r="L39" i="2" s="1"/>
  <c r="L18" i="2" s="1"/>
  <c r="L17" i="2" s="1"/>
  <c r="P50" i="2"/>
  <c r="P39" i="2" s="1"/>
  <c r="P18" i="2" s="1"/>
  <c r="P17" i="2" s="1"/>
  <c r="R48" i="1"/>
  <c r="N48" i="1"/>
  <c r="N39" i="1" s="1"/>
  <c r="N18" i="1" s="1"/>
  <c r="N17" i="1" s="1"/>
  <c r="J48" i="1"/>
  <c r="J39" i="1" s="1"/>
  <c r="J18" i="1" s="1"/>
  <c r="J17" i="1" s="1"/>
  <c r="F48" i="1"/>
  <c r="F39" i="1" s="1"/>
  <c r="F18" i="1" s="1"/>
  <c r="F17" i="1" s="1"/>
  <c r="Q48" i="1"/>
  <c r="Q39" i="1" s="1"/>
  <c r="Q18" i="1" s="1"/>
  <c r="Q17" i="1" s="1"/>
  <c r="M48" i="1"/>
  <c r="M39" i="1" s="1"/>
  <c r="M18" i="1" s="1"/>
  <c r="M17" i="1" s="1"/>
  <c r="I48" i="1"/>
  <c r="I39" i="1" s="1"/>
  <c r="I18" i="1" s="1"/>
  <c r="I17" i="1" s="1"/>
  <c r="E48" i="1"/>
  <c r="E39" i="1" s="1"/>
  <c r="E18" i="1" s="1"/>
  <c r="E17" i="1" s="1"/>
  <c r="P48" i="1"/>
  <c r="P39" i="1" s="1"/>
  <c r="P18" i="1" s="1"/>
  <c r="P17" i="1" s="1"/>
  <c r="L48" i="1"/>
  <c r="L39" i="1" s="1"/>
  <c r="L18" i="1" s="1"/>
  <c r="L17" i="1" s="1"/>
  <c r="H48" i="1"/>
  <c r="H39" i="1" s="1"/>
  <c r="H18" i="1" s="1"/>
  <c r="H17" i="1" s="1"/>
  <c r="D48" i="1"/>
  <c r="D39" i="1" s="1"/>
  <c r="D18" i="1" s="1"/>
  <c r="D17" i="1" s="1"/>
  <c r="R39" i="1"/>
  <c r="R18" i="1" s="1"/>
  <c r="R17" i="1" s="1"/>
  <c r="C18" i="1"/>
  <c r="C17" i="1" s="1"/>
  <c r="S39" i="1"/>
  <c r="S18" i="1" s="1"/>
  <c r="S17" i="1" s="1"/>
  <c r="C39" i="2"/>
  <c r="C18" i="2" s="1"/>
  <c r="C17" i="2" s="1"/>
  <c r="G39" i="2"/>
  <c r="G18" i="2" s="1"/>
  <c r="G17" i="2" s="1"/>
  <c r="O39" i="2"/>
  <c r="O18" i="2" s="1"/>
  <c r="O17" i="2" s="1"/>
  <c r="S39" i="2"/>
  <c r="S18" i="2" s="1"/>
  <c r="S17" i="2" s="1"/>
  <c r="N39" i="2"/>
  <c r="N18" i="2" s="1"/>
  <c r="N17" i="2" s="1"/>
  <c r="K39" i="2"/>
  <c r="K18" i="2" s="1"/>
  <c r="K17" i="2" s="1"/>
  <c r="J39" i="2"/>
  <c r="J18" i="2" s="1"/>
  <c r="J17" i="2" s="1"/>
  <c r="E39" i="2"/>
  <c r="E18" i="2" s="1"/>
  <c r="E17" i="2" s="1"/>
  <c r="I39" i="2"/>
  <c r="I18" i="2" s="1"/>
  <c r="I17" i="2" s="1"/>
  <c r="M39" i="2"/>
  <c r="M18" i="2" s="1"/>
  <c r="M17" i="2" s="1"/>
  <c r="Q39" i="2"/>
  <c r="Q18" i="2" s="1"/>
  <c r="Q17" i="2" s="1"/>
  <c r="I69" i="20" l="1"/>
  <c r="F69" i="20" l="1"/>
  <c r="V182" i="38"/>
  <c r="V246" i="38" s="1"/>
  <c r="L182" i="38"/>
  <c r="L239" i="38" l="1"/>
  <c r="L246" i="38"/>
  <c r="V239" i="38"/>
  <c r="V247" i="38" s="1"/>
  <c r="L247" i="38" l="1"/>
  <c r="L249" i="38" s="1"/>
  <c r="N248" i="38" s="1"/>
  <c r="N249" i="38" s="1"/>
  <c r="P248" i="38" s="1"/>
  <c r="P249" i="38" s="1"/>
  <c r="R248" i="38" s="1"/>
  <c r="R249" i="38" s="1"/>
  <c r="T248" i="38" s="1"/>
  <c r="T249" i="38" s="1"/>
</calcChain>
</file>

<file path=xl/comments1.xml><?xml version="1.0" encoding="utf-8"?>
<comments xmlns="http://schemas.openxmlformats.org/spreadsheetml/2006/main">
  <authors>
    <author>Екатерина Шабанова</author>
  </authors>
  <commentList>
    <comment ref="AC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M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W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G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Q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CA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2.xml><?xml version="1.0" encoding="utf-8"?>
<comments xmlns="http://schemas.openxmlformats.org/spreadsheetml/2006/main">
  <authors>
    <author>Екатерина Шабанова</author>
  </authors>
  <commentLis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3.xml><?xml version="1.0" encoding="utf-8"?>
<comments xmlns="http://schemas.openxmlformats.org/spreadsheetml/2006/main">
  <authors>
    <author>Екатерина Шабанова</author>
  </authors>
  <commentList>
    <comment ref="D11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проверить</t>
        </r>
      </text>
    </comment>
  </commentList>
</comments>
</file>

<file path=xl/comments4.xml><?xml version="1.0" encoding="utf-8"?>
<comments xmlns="http://schemas.openxmlformats.org/spreadsheetml/2006/main">
  <authors>
    <author>Екатерина Шабанова</author>
  </authors>
  <commentList>
    <comment ref="C58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Шабанова:</t>
        </r>
        <r>
          <rPr>
            <sz val="9"/>
            <color indexed="81"/>
            <rFont val="Tahoma"/>
            <family val="2"/>
            <charset val="204"/>
          </rPr>
          <t xml:space="preserve">
охр тр, команд</t>
        </r>
      </text>
    </comment>
  </commentList>
</comments>
</file>

<file path=xl/sharedStrings.xml><?xml version="1.0" encoding="utf-8"?>
<sst xmlns="http://schemas.openxmlformats.org/spreadsheetml/2006/main" count="6300" uniqueCount="1421">
  <si>
    <t>Форма 1. Перечени инвестиционных проектов</t>
  </si>
  <si>
    <t>Инвестиционная программа ООО "Дальневосточные электрические сети"</t>
  </si>
  <si>
    <t>полное наименование субъекта электроэнергетики</t>
  </si>
  <si>
    <t>Утвержденные плановые значения показателей приведены в соответствии с  Приказом Департамента энергетики Приморского края от 31.10.2018 №45пр-63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</si>
  <si>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</si>
  <si>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</si>
  <si>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</si>
  <si>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</si>
  <si>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</si>
  <si>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</si>
  <si>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</si>
  <si>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r>
      <t xml:space="preserve">показатель увеличения мощности силовых трансформаторов </t>
    </r>
    <r>
      <rPr>
        <sz val="12"/>
        <color theme="1"/>
        <rFont val="Calibri"/>
        <family val="2"/>
        <charset val="204"/>
      </rPr>
      <t>∆</t>
    </r>
    <r>
      <rPr>
        <sz val="12"/>
        <color theme="1"/>
        <rFont val="Times New Roman"/>
        <family val="1"/>
        <charset val="204"/>
      </rPr>
      <t>Ртр, МВА</t>
    </r>
  </si>
  <si>
    <t>показатель степени загрузки трансформаторной подстанции Кзагр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</si>
  <si>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км;</t>
  </si>
  <si>
    <t>показатель замены силовых трансформаторов Рз_тр, МВА</t>
  </si>
  <si>
    <t>показатель замены выключателей Вз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</si>
  <si>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км;</t>
  </si>
  <si>
    <t>показатель оценки изменения средней продолжительности прекращения передачи электрической энергии ∆Пsaidi</t>
  </si>
  <si>
    <t>показатель оценки изменения средней частоты прекращения передачи электрической энергии ∆Пsaifi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</si>
  <si>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</si>
  <si>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</si>
  <si>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</si>
  <si>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</si>
  <si>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</si>
  <si>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</si>
  <si>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</si>
  <si>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</si>
  <si>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</si>
  <si>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</si>
  <si>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</si>
  <si>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</si>
  <si>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</si>
  <si>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</si>
  <si>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0</t>
  </si>
  <si>
    <t>ВСЕГО по инвестиционной программе, в том числе:</t>
  </si>
  <si>
    <t>нд</t>
  </si>
  <si>
    <t>Приморский край</t>
  </si>
  <si>
    <t>1.1</t>
  </si>
  <si>
    <t>Технологическое присоединение,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</si>
  <si>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</si>
  <si>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</si>
  <si>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</si>
  <si>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</si>
  <si>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</si>
  <si>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</si>
  <si>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</si>
  <si>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1.2.1.1.1</t>
  </si>
  <si>
    <t>1.2.2</t>
  </si>
  <si>
    <t>Реконструкция, модернизация, техническое перевооружение линий электропередачи, всего, в том числе: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</si>
  <si>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</si>
  <si>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</si>
  <si>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</si>
  <si>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</si>
  <si>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</si>
  <si>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</si>
  <si>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</si>
  <si>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</si>
  <si>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</si>
  <si>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</si>
  <si>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</si>
  <si>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</si>
  <si>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</si>
  <si>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</si>
  <si>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</si>
  <si>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</si>
  <si>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</si>
  <si>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</si>
  <si>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</si>
  <si>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</si>
  <si>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</si>
  <si>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</si>
  <si>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</si>
  <si>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</si>
  <si>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</si>
  <si>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1.2.2.1</t>
  </si>
  <si>
    <t>Реконструкция линий электропередачи, всего, в том числе:</t>
  </si>
  <si>
    <t>1.2.2.1.1</t>
  </si>
  <si>
    <t>Генеральный директор ООО "ДВЭС"</t>
  </si>
  <si>
    <t>Ю.С.Игнатов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</si>
  <si>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</si>
  <si>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</si>
  <si>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</si>
  <si>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</si>
  <si>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</si>
  <si>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</si>
  <si>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</si>
  <si>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</si>
  <si>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</si>
  <si>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</si>
  <si>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</si>
  <si>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</si>
  <si>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</si>
  <si>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</si>
  <si>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</si>
  <si>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</si>
  <si>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</si>
  <si>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</si>
  <si>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</si>
  <si>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</si>
  <si>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</si>
  <si>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</si>
  <si>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</si>
  <si>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</si>
  <si>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</si>
  <si>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</si>
  <si>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1.1.3.3</t>
  </si>
  <si>
    <t>1.1.3.4</t>
  </si>
  <si>
    <t>1.1.3.5</t>
  </si>
  <si>
    <t>1.1.3.6</t>
  </si>
  <si>
    <t>1.1.3.7</t>
  </si>
  <si>
    <t>1.1.3.8</t>
  </si>
  <si>
    <t>1.1.5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</si>
  <si>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</si>
  <si>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</si>
  <si>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</si>
  <si>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</si>
  <si>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</si>
  <si>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</si>
  <si>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</si>
  <si>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</si>
  <si>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</si>
  <si>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-</t>
  </si>
  <si>
    <t>Форма 2. План финансирования капитальных вложений по инвестиционным проектам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</si>
  <si>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ООО "Дальневосточные электрические сети"</t>
    </r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</si>
  <si>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</si>
  <si>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</si>
  <si>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</si>
  <si>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</si>
  <si>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</si>
  <si>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</si>
  <si>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</si>
  <si>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</si>
  <si>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</si>
  <si>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</si>
  <si>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</si>
  <si>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</si>
  <si>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Предложение по корректировке утвержденного плана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</si>
  <si>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</si>
  <si>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</si>
  <si>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</si>
  <si>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
млн рублей (с НДС) </t>
  </si>
  <si>
    <t xml:space="preserve">в прогнозных ценах соответствующих лет, млн рублей 
(с НДС) </t>
  </si>
  <si>
    <t xml:space="preserve">в текущих ценах, млн рублей (с НДС) </t>
  </si>
  <si>
    <t>План 
на 01.01.2017 года (N-1)</t>
  </si>
  <si>
    <r>
      <t>План 
на 01.01.2016 года X</t>
    </r>
    <r>
      <rPr>
        <vertAlign val="superscript"/>
        <sz val="12"/>
        <rFont val="Times New Roman"/>
        <family val="1"/>
        <charset val="204"/>
      </rPr>
      <t>4)</t>
    </r>
  </si>
  <si>
    <t>Предложение по корректировке утвержденного плана на 01.01.года X</t>
  </si>
  <si>
    <t>П</t>
  </si>
  <si>
    <t>16.1</t>
  </si>
  <si>
    <t>16.2</t>
  </si>
  <si>
    <t>16.3</t>
  </si>
  <si>
    <t>16.4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</si>
  <si>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</si>
  <si>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</si>
  <si>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</si>
  <si>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</si>
  <si>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</si>
  <si>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</si>
  <si>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</si>
  <si>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</si>
  <si>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</si>
  <si>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</si>
  <si>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</si>
  <si>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</si>
  <si>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</si>
  <si>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</si>
  <si>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</si>
  <si>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</si>
  <si>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</si>
  <si>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</si>
  <si>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</si>
  <si>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</si>
  <si>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</si>
  <si>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</si>
  <si>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</si>
  <si>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</si>
  <si>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</si>
  <si>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</si>
  <si>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</si>
  <si>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</si>
  <si>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</si>
  <si>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</si>
  <si>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</si>
  <si>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</si>
  <si>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</si>
  <si>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</si>
  <si>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</si>
  <si>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</si>
  <si>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</si>
  <si>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</si>
  <si>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амортизационные отчисления</t>
  </si>
  <si>
    <t>иных источников финансирования</t>
  </si>
  <si>
    <t>Приложение  № 17</t>
  </si>
  <si>
    <t>к приказу Минэнерго России</t>
  </si>
  <si>
    <t>от «__» _____ 2016 г. №___</t>
  </si>
  <si>
    <t>Форма 17.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</si>
  <si>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</si>
  <si>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t>№ п/п</t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</si>
  <si>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</si>
  <si>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</si>
  <si>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</si>
  <si>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</si>
  <si>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5.5</t>
  </si>
  <si>
    <t>5.6</t>
  </si>
  <si>
    <t>5.7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</si>
  <si>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</si>
  <si>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</si>
  <si>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…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</si>
  <si>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</si>
  <si>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</si>
  <si>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</si>
  <si>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</si>
  <si>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Форма 3. План освоения капитальных вложений по инвестиционным проектам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</si>
  <si>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</si>
  <si>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</si>
  <si>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t xml:space="preserve">Фактический объем освоения капитальных вложений на 01.01.года 
(N-1), млн рублей 
(без НДС) </t>
  </si>
  <si>
    <t>Остаток освоения капитальных вложений, 
млн рублей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</si>
  <si>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</si>
  <si>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</si>
  <si>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</si>
  <si>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</si>
  <si>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</si>
  <si>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</si>
  <si>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</si>
  <si>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</si>
  <si>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</si>
  <si>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</si>
  <si>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реквизиты решения органа исполнительной власти, утвердившего инвестиционную программу</t>
  </si>
  <si>
    <t>Год раскрытия информации: 2019 год</t>
  </si>
  <si>
    <t>Форма 4. План ввода основных средств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</si>
  <si>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</si>
  <si>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(N-1)</t>
  </si>
  <si>
    <t>Принятие основных средств и нематериальных активов к бухгалтерскому учету</t>
  </si>
  <si>
    <t>Итого за период реализации инвестиционной программы</t>
  </si>
  <si>
    <t>Предложение 
по корректировке 
утвержденного
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</si>
  <si>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</si>
  <si>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</si>
  <si>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</si>
  <si>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</si>
  <si>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</si>
  <si>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</si>
  <si>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</si>
  <si>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</si>
  <si>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</si>
  <si>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</si>
  <si>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</si>
  <si>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</si>
  <si>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</si>
  <si>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</si>
  <si>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</si>
  <si>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</si>
  <si>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</si>
  <si>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</si>
  <si>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</si>
  <si>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</si>
  <si>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</si>
  <si>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</si>
  <si>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</si>
  <si>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</si>
  <si>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</si>
  <si>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</si>
  <si>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</si>
  <si>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</si>
  <si>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</si>
  <si>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</si>
  <si>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</si>
  <si>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</si>
  <si>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</si>
  <si>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</si>
  <si>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</si>
  <si>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</si>
  <si>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</si>
  <si>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</si>
  <si>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</si>
  <si>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</si>
  <si>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</si>
  <si>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</si>
  <si>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</si>
  <si>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</si>
  <si>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</si>
  <si>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</si>
  <si>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</si>
  <si>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</si>
  <si>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</si>
  <si>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</si>
  <si>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</si>
  <si>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</si>
  <si>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</si>
  <si>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</si>
  <si>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</si>
  <si>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</si>
  <si>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</si>
  <si>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</si>
  <si>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</si>
  <si>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</si>
  <si>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</si>
  <si>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</si>
  <si>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</si>
  <si>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</si>
  <si>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</si>
  <si>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</si>
  <si>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</si>
  <si>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</si>
  <si>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</si>
  <si>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</si>
  <si>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</si>
  <si>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</si>
  <si>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</si>
  <si>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</si>
  <si>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</si>
  <si>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</si>
  <si>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</si>
  <si>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</si>
  <si>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</si>
  <si>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Форма 5. План ввода основных средств (с распределением по кварталам)</t>
  </si>
  <si>
    <t>План 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</si>
  <si>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</si>
  <si>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</si>
  <si>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</si>
  <si>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</si>
  <si>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</si>
  <si>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</si>
  <si>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</si>
  <si>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</si>
  <si>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</si>
  <si>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</si>
  <si>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</si>
  <si>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</si>
  <si>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</si>
  <si>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</si>
  <si>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</si>
  <si>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</si>
  <si>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</si>
  <si>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</si>
  <si>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</si>
  <si>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</si>
  <si>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</si>
  <si>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</si>
  <si>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</si>
  <si>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</si>
  <si>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</si>
  <si>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</si>
  <si>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</si>
  <si>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</si>
  <si>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</si>
  <si>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</si>
  <si>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</si>
  <si>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</si>
  <si>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</si>
  <si>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</si>
  <si>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</si>
  <si>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</si>
  <si>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</si>
  <si>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</si>
  <si>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</si>
  <si>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</si>
  <si>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</si>
  <si>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</si>
  <si>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</si>
  <si>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</si>
  <si>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</si>
  <si>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</si>
  <si>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</si>
  <si>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</si>
  <si>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</si>
  <si>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</si>
  <si>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</si>
  <si>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</si>
  <si>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</si>
  <si>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</si>
  <si>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</si>
  <si>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</si>
  <si>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</si>
  <si>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</si>
  <si>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</si>
  <si>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</si>
  <si>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</si>
  <si>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</si>
  <si>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</si>
  <si>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</si>
  <si>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</si>
  <si>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</si>
  <si>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</si>
  <si>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</si>
  <si>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</si>
  <si>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</si>
  <si>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</si>
  <si>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</si>
  <si>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</si>
  <si>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</si>
  <si>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</si>
  <si>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</si>
  <si>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</si>
  <si>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</si>
  <si>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Форма 7.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</si>
  <si>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</si>
  <si>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</si>
  <si>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</si>
  <si>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</si>
  <si>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</si>
  <si>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</si>
  <si>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Форма 9. Краткое описание инвестиционной программы. Показатели энергетической эффективности</t>
  </si>
  <si>
    <t>______________________________________________________________________________________________________________________________________________________________________________________________________________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</si>
  <si>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</si>
  <si>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</si>
  <si>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</si>
  <si>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</si>
  <si>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</si>
  <si>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</si>
  <si>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</si>
  <si>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</si>
  <si>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</si>
  <si>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 ООО "Дальневосточные электрические сети"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</si>
  <si>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</si>
  <si>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</si>
  <si>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</si>
  <si>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</si>
  <si>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</si>
  <si>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</si>
  <si>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</si>
  <si>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</si>
  <si>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</si>
  <si>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</si>
  <si>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</si>
  <si>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</si>
  <si>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</si>
  <si>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</si>
  <si>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</si>
  <si>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Дальневосточный Федеральный округ</t>
  </si>
  <si>
    <t>Владивостокский городской округ</t>
  </si>
  <si>
    <t>не относится</t>
  </si>
  <si>
    <t>Форма 12. Краткое описание инвестиционной программы. Обоснование необходимости реализации инвестиционных проектов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</si>
  <si>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ООО "Дальневосточные электрические сети" </t>
    </r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</si>
  <si>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</si>
  <si>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</si>
  <si>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</si>
  <si>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</si>
  <si>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</si>
  <si>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</si>
  <si>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</si>
  <si>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</si>
  <si>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</si>
  <si>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</si>
  <si>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</si>
  <si>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</si>
  <si>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</si>
  <si>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</si>
  <si>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</si>
  <si>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</si>
  <si>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</si>
  <si>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</si>
  <si>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</si>
  <si>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</si>
  <si>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</si>
  <si>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</si>
  <si>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</si>
  <si>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</si>
  <si>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</si>
  <si>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</si>
  <si>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</si>
  <si>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</si>
  <si>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</si>
  <si>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</si>
  <si>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</si>
  <si>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</si>
  <si>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+</t>
  </si>
  <si>
    <t>Форма 13. Краткое описание инвестиционной программы. Обоснование необходимости реализации инвестиционных проектов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</si>
  <si>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работ), год</t>
  </si>
  <si>
    <t>Планируемый в инвестиционной программе срок ввода объектов электросетевого хозяйства (объектов теплоснабжения) в эксплуатацию, год</t>
  </si>
  <si>
    <r>
  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
(срок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власти), год</t>
    </r>
  </si>
  <si>
    <r>
      <t>Схема и программа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(схема теплоснабжения поселения (городского округа), утвержденная органом местного самоуправления)</t>
    </r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</si>
  <si>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</si>
  <si>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r>
      <t>Срок ввода объекта в эксплуатацию, предусмотренный схемой и программой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
(схемой теплоснабжения поселения (городского округа), утвержденной органом местного самоуправления), год</t>
    </r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</si>
  <si>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схемы и программы (реквизиты решения  органа местного самоуправления об утверждении схемы теплоснабжения
 и указание на структурные единицы      схемы теплоснабжения)</t>
  </si>
  <si>
    <t>Форма 14. Краткое описание инвестиционной программы.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</si>
  <si>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</si>
  <si>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</si>
  <si>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</si>
  <si>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</si>
  <si>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</si>
  <si>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</si>
  <si>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</si>
  <si>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ВЛЭП-0,4 кВ, км</t>
  </si>
  <si>
    <t>КЛЭП-6,0 кВ, км</t>
  </si>
  <si>
    <t>КЛЭП-0,4 кВ, км</t>
  </si>
  <si>
    <t>ТП (КТП), МВА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</si>
  <si>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</si>
  <si>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</si>
  <si>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</si>
  <si>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</si>
  <si>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</si>
  <si>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значение до, км</t>
  </si>
  <si>
    <t>значение после, км</t>
  </si>
  <si>
    <t>16.1.1</t>
  </si>
  <si>
    <t>16.1.2</t>
  </si>
  <si>
    <t>16.2.1</t>
  </si>
  <si>
    <t>16.2.2</t>
  </si>
  <si>
    <t>16.3.1</t>
  </si>
  <si>
    <t>16.3.2</t>
  </si>
  <si>
    <t>16.4.1</t>
  </si>
  <si>
    <t>16.4.2</t>
  </si>
  <si>
    <t>16.5.1</t>
  </si>
  <si>
    <t>16.5.2</t>
  </si>
  <si>
    <t>16.6.1</t>
  </si>
  <si>
    <t>16.6.2</t>
  </si>
  <si>
    <t>развитие электрической сети и (или) усиление существующей электрической сети, связанное с подключением новых потребителей</t>
  </si>
  <si>
    <t>Форма 18. Значения целевых показателей, установленные для целей формирования инвестиционной программы</t>
  </si>
  <si>
    <r>
      <t xml:space="preserve">Инвестиционная программа    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</si>
  <si>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Наименование  субъекта Российской Федерации  </t>
    </r>
    <r>
      <rPr>
        <u/>
        <sz val="12"/>
        <rFont val="Times New Roman"/>
        <family val="1"/>
        <charset val="204"/>
      </rPr>
      <t>Приморский край</t>
    </r>
  </si>
  <si>
    <t>Наименование целевого показателя</t>
  </si>
  <si>
    <t>Единицы измерения</t>
  </si>
  <si>
    <t>Значения целевых показателей, годы</t>
  </si>
  <si>
    <t>характеризующих развитие электрической сети и (или) усиление существующей электрической сети, связанное с подключением новых потребителей</t>
  </si>
  <si>
    <t>1.1.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</si>
  <si>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;</t>
  </si>
  <si>
    <t>км</t>
  </si>
  <si>
    <t>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</si>
  <si>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2.1.</t>
  </si>
  <si>
    <t>показатель замены силовых  трансформаторов ;</t>
  </si>
  <si>
    <t>МВА</t>
  </si>
  <si>
    <t>2.2.</t>
  </si>
  <si>
    <t>показатель замены выключателей;</t>
  </si>
  <si>
    <t>ВЗ</t>
  </si>
  <si>
    <t>2.3.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</si>
  <si>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;</t>
  </si>
  <si>
    <t>I</t>
  </si>
  <si>
    <t>IV</t>
  </si>
  <si>
    <t xml:space="preserve">Утвержденный план
</t>
  </si>
  <si>
    <t>1.2.1.1.2</t>
  </si>
  <si>
    <t>1.6</t>
  </si>
  <si>
    <t>Прочие инвестиционные проекты, всего, в том числе:</t>
  </si>
  <si>
    <t>1.6.1.</t>
  </si>
  <si>
    <t xml:space="preserve">Утвержденный план </t>
  </si>
  <si>
    <t>Утвержденный план</t>
  </si>
  <si>
    <t>Итого за период реализации инвестиционной программы
(утвержденный план)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</si>
  <si>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базисном уровне цен, 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</si>
  <si>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r>
      <t xml:space="preserve">Оценка полной стоимости в прогнозных ценах соответствующих лет, 
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</si>
  <si>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t>План на    _________ года</t>
  </si>
  <si>
    <t>План 
на __________ года</t>
  </si>
  <si>
    <t>Предложение по корректировке утвержденного плана 
на ______</t>
  </si>
  <si>
    <t>Освоение капитальных вложений 2018 года в прогнозных ценах соответствующих лет, млн рублей (без НДС)</t>
  </si>
  <si>
    <t>Предложение по корректировке плана</t>
  </si>
  <si>
    <r>
      <t xml:space="preserve">Освоение капитальных вложений в прогнозных ценах соответствующих лет, млн рублей </t>
    </r>
    <r>
      <rPr>
        <b/>
        <sz val="12"/>
        <color rgb="FFFF0000"/>
        <rFont val="Times New Roman"/>
        <family val="1"/>
        <charset val="204"/>
      </rPr>
      <t xml:space="preserve"> (без НДС)</t>
    </r>
  </si>
  <si>
    <t>Повышение качества и надежности электроснабжения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</si>
  <si>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(N-1)</t>
  </si>
  <si>
    <t>Ввод объектов инвестиционной деятельности (мощностей) в эксплуатацию в год 2018 (N-1)</t>
  </si>
  <si>
    <t>не требуется</t>
  </si>
  <si>
    <t xml:space="preserve"> полное наименование субъекта электроэнергетики</t>
  </si>
  <si>
    <t>Коммерческое предложение</t>
  </si>
  <si>
    <t>Задачи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</si>
  <si>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</si>
  <si>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</si>
  <si>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</si>
  <si>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</si>
  <si>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Сетевые организации раскрывают в соответствии со стандартами раскрытия информации в составе информации об инвестиционной программе (о проекте инвестиционной программы) и обосновывающих ее материалах, а также информации об отчетах о реализации инвестиционной программы и об обосновывающих ее материалах плановые и фактические значения следующих количественных показателей инвестиционной программы (проекта инвестиционной программы):</t>
  </si>
  <si>
    <t>а) характеризующих развитие электрической сети и (или) усиление существующей электрической сети, связанное с подключением новых потребителей: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</si>
  <si>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;</t>
  </si>
  <si>
    <t>показатель увеличения мощности силовых  трансформаторов на подстанциях в рамках осуществления технологического присоединения к электрическим сетям ;</t>
  </si>
  <si>
    <t>показатель максимальной мощности присоединяемых потребителей электрической энергии ;</t>
  </si>
  <si>
    <t>показатель максимальной мощности присоединяемых объектов по производству электрической энергии 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</si>
  <si>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;</t>
  </si>
  <si>
    <t>показатель степени загрузки трансформаторной подстанции (Kзагр);</t>
  </si>
  <si>
    <t>б) 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</si>
  <si>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показатель замены линий электропередачи;</t>
  </si>
  <si>
    <t>показатель замены устройств компенсации реактивной мощности ;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</si>
  <si>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;</t>
  </si>
  <si>
    <t>в) характеризующих повышение надежности оказываемых услуг в сфере электроэнергетики:</t>
  </si>
  <si>
    <t>показатель оценки изменения средней продолжительности прекращения передачи электрической энергии потребителям услуг ;</t>
  </si>
  <si>
    <t>показатель оценки изменения средней частоты прекращения передачи электрической энергии потребителям услуг ;</t>
  </si>
  <si>
    <t>показатель оценки изменения объема недоотпущенной электрической энергии ;</t>
  </si>
  <si>
    <t>г) характеризующих повышение качества оказываемых услуг в сфере электроэнергетики: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</si>
  <si>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</si>
  <si>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;</t>
  </si>
  <si>
    <t>Интегрированных ПУ</t>
  </si>
  <si>
    <t>Единиц с/техники</t>
  </si>
  <si>
    <t>7.3.8</t>
  </si>
  <si>
    <t>7.4.8</t>
  </si>
  <si>
    <t>7.5.8</t>
  </si>
  <si>
    <t>8.2.8</t>
  </si>
  <si>
    <t>8.1.8</t>
  </si>
  <si>
    <t>7.8.8</t>
  </si>
  <si>
    <t>7.7.8</t>
  </si>
  <si>
    <t>7.6.8</t>
  </si>
  <si>
    <t>4.2.8</t>
  </si>
  <si>
    <t>4.1.8</t>
  </si>
  <si>
    <t>5.3.7</t>
  </si>
  <si>
    <t>5.4.7</t>
  </si>
  <si>
    <t>5.5.7</t>
  </si>
  <si>
    <t>5.6.7</t>
  </si>
  <si>
    <t>5.7.7</t>
  </si>
  <si>
    <t>5.8.7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</si>
  <si>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</si>
  <si>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</si>
  <si>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</si>
  <si>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</si>
  <si>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</si>
  <si>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</si>
  <si>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</si>
  <si>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</si>
  <si>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</si>
  <si>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</si>
  <si>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</si>
  <si>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</si>
  <si>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</si>
  <si>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</si>
  <si>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</si>
  <si>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</si>
  <si>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6.1.8</t>
  </si>
  <si>
    <t>6.2.8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</si>
  <si>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</si>
  <si>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</si>
  <si>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</si>
  <si>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</si>
  <si>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</si>
  <si>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</si>
  <si>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</si>
  <si>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</si>
  <si>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</si>
  <si>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</si>
  <si>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</si>
  <si>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</si>
  <si>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</si>
  <si>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</si>
  <si>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</si>
  <si>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</si>
  <si>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</si>
  <si>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</si>
  <si>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</si>
  <si>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</si>
  <si>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</si>
  <si>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</si>
  <si>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</si>
  <si>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</si>
  <si>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</si>
  <si>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</si>
  <si>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</si>
  <si>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</si>
  <si>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</si>
  <si>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</si>
  <si>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</si>
  <si>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</si>
  <si>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</si>
  <si>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</si>
  <si>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</si>
  <si>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</si>
  <si>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</si>
  <si>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</si>
  <si>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</si>
  <si>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</si>
  <si>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</si>
  <si>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</si>
  <si>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</si>
  <si>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</si>
  <si>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</si>
  <si>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</si>
  <si>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</si>
  <si>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</si>
  <si>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Интегрированные ПУ</t>
  </si>
  <si>
    <t>2.4.</t>
  </si>
  <si>
    <t>ед.</t>
  </si>
  <si>
    <t>1.2.2.1.2</t>
  </si>
  <si>
    <t>ВЛЭП-10 кВ, км</t>
  </si>
  <si>
    <t>1.2.2.1.3</t>
  </si>
  <si>
    <t>1.2.2.1.4</t>
  </si>
  <si>
    <t>Шкотовский муниципальный район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</si>
  <si>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</si>
  <si>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t>Прогноз социально-экономического развития Российской Федерации на 2021 год и на плановый период 2022 и 2023 годов
26 сентября 2020</t>
  </si>
  <si>
    <t>5.8</t>
  </si>
  <si>
    <t>5.9</t>
  </si>
  <si>
    <t>А.Е.Мацковский</t>
  </si>
  <si>
    <t xml:space="preserve">Год раскрытия информации:   2021 год </t>
  </si>
  <si>
    <t xml:space="preserve">Утвержденный план 
2022 года </t>
  </si>
  <si>
    <t>Предложение по корректировке утвержденного плана 
2022 года</t>
  </si>
  <si>
    <t xml:space="preserve">Утвержденный план 
2023 года </t>
  </si>
  <si>
    <t>Предложение по корректировке утвержденного плана 
2023 года</t>
  </si>
  <si>
    <t xml:space="preserve">Утвержденный план 
2024 года </t>
  </si>
  <si>
    <t>Предложение по корректировке утвержденного плана 
2024 года</t>
  </si>
  <si>
    <t xml:space="preserve">Утвержденный план 
2025года </t>
  </si>
  <si>
    <t>Предложение по корректировке утвержденного плана 
2025 года</t>
  </si>
  <si>
    <t xml:space="preserve">Утвержденный план 
2026 года </t>
  </si>
  <si>
    <t>Предложение по корректировке утвержденного плана 
2026 года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</si>
  <si>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</si>
  <si>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</si>
  <si>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</si>
  <si>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</si>
  <si>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</si>
  <si>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</si>
  <si>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</si>
  <si>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</si>
  <si>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</si>
  <si>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</si>
  <si>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</si>
  <si>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</si>
  <si>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</si>
  <si>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</si>
  <si>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</si>
  <si>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</si>
  <si>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</si>
  <si>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</si>
  <si>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</si>
  <si>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</si>
  <si>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1.2.1.1.3</t>
  </si>
  <si>
    <t>1.2.3.1.1</t>
  </si>
  <si>
    <t>1.2.3.1.2</t>
  </si>
  <si>
    <t>1.2.3.1.3</t>
  </si>
  <si>
    <t>1.2.3.1.4</t>
  </si>
  <si>
    <t>1.2.3.1.5</t>
  </si>
  <si>
    <t>Установка приборов учета, класс напряжения 0,22 (0,4) кВ</t>
  </si>
  <si>
    <t>1.6.2.</t>
  </si>
  <si>
    <t>Приобретение экскаватора колесного</t>
  </si>
  <si>
    <t>Приобретение автогидроподъемника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</si>
  <si>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</si>
  <si>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</si>
  <si>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</si>
  <si>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</si>
  <si>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</si>
  <si>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</si>
  <si>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</si>
  <si>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</si>
  <si>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</si>
  <si>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</si>
  <si>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</si>
  <si>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L_010</t>
  </si>
  <si>
    <t>L_011</t>
  </si>
  <si>
    <t>L_012</t>
  </si>
  <si>
    <t>L_013</t>
  </si>
  <si>
    <t>L_014</t>
  </si>
  <si>
    <t>L_015</t>
  </si>
  <si>
    <t>L_016</t>
  </si>
  <si>
    <t>L_017</t>
  </si>
  <si>
    <t>L_018</t>
  </si>
  <si>
    <t>L_019</t>
  </si>
  <si>
    <t>L_020</t>
  </si>
  <si>
    <t>L_021</t>
  </si>
  <si>
    <t>L_022</t>
  </si>
  <si>
    <t>L_023</t>
  </si>
  <si>
    <t>Реконструкция РТП- 6/0,4кВ в районе ул. Кирова, 25 в г. Владивосток</t>
  </si>
  <si>
    <t>Реконструкция КТПН-803 в районе ул.Снеговая, 18</t>
  </si>
  <si>
    <t>Строительство РП-10кВ (новое) в районе ПС Казармы</t>
  </si>
  <si>
    <t>Реконструкция сетей электроснабжения в д. Рождественка в Шкотовском муниципальном районе с установкой КТПН-10/0,4кВ и строительством сетей 10/0,4кВ</t>
  </si>
  <si>
    <t>Реконструкция ВЛ-6кВ от ПС "Горностай" Ф.5 до ТП-873</t>
  </si>
  <si>
    <t>Реконструкция ВЛ-6 от ПС "Горностай" Ф.17 до КТПН-874</t>
  </si>
  <si>
    <t>Реконструкция сетей электроснабжения в районе жилого дома по ул. Партизанская, 69 в с. Анисимовка Шкотовского муниципального района с установкой СТП-10/0,4кВ и строительством сетей 10/0,4кВ</t>
  </si>
  <si>
    <t xml:space="preserve"> на год 2022</t>
  </si>
  <si>
    <t>Год раскрытия информации: 2021 год</t>
  </si>
  <si>
    <t xml:space="preserve"> на год 2023</t>
  </si>
  <si>
    <t xml:space="preserve"> на год 2024</t>
  </si>
  <si>
    <t xml:space="preserve"> на год 2025</t>
  </si>
  <si>
    <t xml:space="preserve"> на год 2026</t>
  </si>
  <si>
    <t>год 2022</t>
  </si>
  <si>
    <t>год 2023</t>
  </si>
  <si>
    <t>год 2024</t>
  </si>
  <si>
    <t>год 2025</t>
  </si>
  <si>
    <t>год 2026</t>
  </si>
  <si>
    <t>Улучшение качества и надежности электроснабжения</t>
  </si>
  <si>
    <t>Изменение категории надежности электроснабжения, увеличение трансформаторной мощности</t>
  </si>
  <si>
    <t>Установка ТП в центре электрических нагрузок, формирование отдельных групп 0,4кВ с целью разгрузки сетей и повышения качества и надежности электроснабжения</t>
  </si>
  <si>
    <t>Установка ТП в центре электрических нагрузок,  повышение качества и надежности электроснабжения</t>
  </si>
  <si>
    <t>обеспечение в соответствии с пунктом 5 статьи 37 Федерального закона "Об электроэнергетике" коммерческого учета электрической энергии (мощности), в том числе посредством интеллектуальных систем учета электрической энергии (мощности)</t>
  </si>
  <si>
    <t>проверка</t>
  </si>
  <si>
    <t>ИСТОЧНИКИ!!!</t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</si>
  <si>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>2021</t>
    </r>
    <r>
      <rPr>
        <sz val="14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</si>
  <si>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</si>
  <si>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t>2022 Год</t>
  </si>
  <si>
    <t>2023 Год</t>
  </si>
  <si>
    <t>2024 Год</t>
  </si>
  <si>
    <t>2025 Год</t>
  </si>
  <si>
    <t>2026 Год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</si>
  <si>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2022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</si>
  <si>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2021 </t>
    </r>
    <r>
      <rPr>
        <sz val="12"/>
        <rFont val="Times New Roman"/>
        <family val="1"/>
        <charset val="204"/>
      </rPr>
      <t xml:space="preserve"> год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</si>
  <si>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2023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</si>
  <si>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2024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</si>
  <si>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2025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</si>
  <si>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2026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</si>
  <si>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год</t>
    </r>
  </si>
  <si>
    <t>Год раскрытия информации:  2021  год</t>
  </si>
  <si>
    <t>Год 2022</t>
  </si>
  <si>
    <t>Год 2023</t>
  </si>
  <si>
    <t>Год 2024</t>
  </si>
  <si>
    <t>Год 2025</t>
  </si>
  <si>
    <t>Год 2026</t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</si>
  <si>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</si>
  <si>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 2021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</si>
  <si>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</t>
    </r>
  </si>
  <si>
    <t xml:space="preserve">Приказ Минэнерго России от 17.01.2019 N 10, сметные расчеты </t>
  </si>
  <si>
    <t>Сметные расчеты</t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</si>
  <si>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2021</t>
    </r>
    <r>
      <rPr>
        <sz val="12"/>
        <rFont val="Times New Roman"/>
        <family val="1"/>
        <charset val="204"/>
      </rPr>
      <t xml:space="preserve">  год</t>
    </r>
  </si>
  <si>
    <t>показатель установки интегрированных приборов учета</t>
  </si>
  <si>
    <t>Приложение № 1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</si>
  <si>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</si>
  <si>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</si>
  <si>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</si>
  <si>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</si>
  <si>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ООО "Дальневосточные электрические сети"</t>
  </si>
  <si>
    <t xml:space="preserve">Субъект Российской Федерации: </t>
  </si>
  <si>
    <t xml:space="preserve">Год раскрытия (предоставления) информации: </t>
  </si>
  <si>
    <t xml:space="preserve"> год</t>
  </si>
  <si>
    <t>Утвержденные плановые значения показателей приведены в соответствии</t>
  </si>
  <si>
    <t>с</t>
  </si>
  <si>
    <t>1. Финансово-экономическая модель деятельности субъекта электроэнергетики</t>
  </si>
  <si>
    <t>Показатель</t>
  </si>
  <si>
    <t>Ед. изм.</t>
  </si>
  <si>
    <t>Факт</t>
  </si>
  <si>
    <t>Прогноз (Факт)</t>
  </si>
  <si>
    <t xml:space="preserve">Факт </t>
  </si>
  <si>
    <t>План (Утвержденный план)</t>
  </si>
  <si>
    <t>БЮДЖЕТ ДОХОДОВ И РАСХОДОВ</t>
  </si>
  <si>
    <t>Выручка от реализации товаров (работ, услуг) всего, в том числе *:</t>
  </si>
  <si>
    <t>млн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</si>
  <si>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</si>
  <si>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</si>
  <si>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</si>
  <si>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</si>
  <si>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</si>
  <si>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</si>
  <si>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</si>
  <si>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</si>
  <si>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</si>
  <si>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</si>
  <si>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</si>
  <si>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</si>
  <si>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</si>
  <si>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</si>
  <si>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</si>
  <si>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</si>
  <si>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</si>
  <si>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</si>
  <si>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</si>
  <si>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</si>
  <si>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</si>
  <si>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</si>
  <si>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</si>
  <si>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</si>
  <si>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</si>
  <si>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</si>
  <si>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</si>
  <si>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</si>
  <si>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</si>
  <si>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</si>
  <si>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</si>
  <si>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</si>
  <si>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</si>
  <si>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</si>
  <si>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</si>
  <si>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</si>
  <si>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</si>
  <si>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</si>
  <si>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</si>
  <si>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</si>
  <si>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</si>
  <si>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</si>
  <si>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</si>
  <si>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</si>
  <si>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</si>
  <si>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</si>
  <si>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</si>
  <si>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</si>
  <si>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</si>
  <si>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</si>
  <si>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</si>
  <si>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</si>
  <si>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</si>
  <si>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</si>
  <si>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</si>
  <si>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</si>
  <si>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</si>
  <si>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</si>
  <si>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</si>
  <si>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</si>
  <si>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</si>
  <si>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</si>
  <si>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</si>
  <si>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</si>
  <si>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</si>
  <si>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</si>
  <si>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</si>
  <si>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</si>
  <si>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</si>
  <si>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</si>
  <si>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</si>
  <si>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</si>
  <si>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</si>
  <si>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</si>
  <si>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</si>
  <si>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</si>
  <si>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</si>
  <si>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</si>
  <si>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</si>
  <si>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</si>
  <si>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</si>
  <si>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</si>
  <si>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</si>
  <si>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</si>
  <si>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</si>
  <si>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</si>
  <si>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</si>
  <si>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</si>
  <si>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</si>
  <si>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</si>
  <si>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</si>
  <si>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</si>
  <si>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</si>
  <si>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</si>
  <si>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</si>
  <si>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</si>
  <si>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</si>
  <si>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</si>
  <si>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</si>
  <si>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</si>
  <si>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</si>
  <si>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</si>
  <si>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</si>
  <si>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</si>
  <si>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</si>
  <si>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</si>
  <si>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</si>
  <si>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</si>
  <si>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</si>
  <si>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</si>
  <si>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</si>
  <si>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</si>
  <si>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</si>
  <si>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</si>
  <si>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</si>
  <si>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</si>
  <si>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</si>
  <si>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</si>
  <si>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</si>
  <si>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</si>
  <si>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</si>
  <si>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</si>
  <si>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</si>
  <si>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</si>
  <si>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</si>
  <si>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</si>
  <si>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</si>
  <si>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</si>
  <si>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</si>
  <si>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</si>
  <si>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</si>
  <si>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</si>
  <si>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</si>
  <si>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</si>
  <si>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</si>
  <si>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</si>
  <si>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</si>
  <si>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</si>
  <si>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</si>
  <si>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</si>
  <si>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</si>
  <si>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</si>
  <si>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</si>
  <si>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</si>
  <si>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</si>
  <si>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</si>
  <si>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</si>
  <si>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</si>
  <si>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</si>
  <si>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</si>
  <si>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</si>
  <si>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</si>
  <si>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</si>
  <si>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</si>
  <si>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</si>
  <si>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</si>
  <si>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</si>
  <si>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</si>
  <si>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</si>
  <si>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</si>
  <si>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</si>
  <si>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</si>
  <si>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</si>
  <si>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</si>
  <si>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</si>
  <si>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</si>
  <si>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</si>
  <si>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</si>
  <si>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</si>
  <si>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</si>
  <si>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</si>
  <si>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</si>
  <si>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</si>
  <si>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</si>
  <si>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</si>
  <si>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</si>
  <si>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</si>
  <si>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</si>
  <si>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</si>
  <si>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</si>
  <si>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</si>
  <si>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</si>
  <si>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</si>
  <si>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</si>
  <si>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</si>
  <si>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</si>
  <si>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</si>
  <si>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</si>
  <si>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</si>
  <si>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</si>
  <si>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</si>
  <si>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</si>
  <si>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</si>
  <si>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</si>
  <si>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</si>
  <si>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</si>
  <si>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</si>
  <si>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</si>
  <si>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</si>
  <si>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</si>
  <si>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</si>
  <si>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</si>
  <si>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</si>
  <si>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</si>
  <si>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</si>
  <si>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</si>
  <si>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</si>
  <si>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</si>
  <si>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</si>
  <si>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</si>
  <si>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</si>
  <si>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</si>
  <si>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</si>
  <si>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</si>
  <si>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</si>
  <si>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</si>
  <si>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</si>
  <si>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</si>
  <si>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</si>
  <si>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</si>
  <si>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</si>
  <si>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</si>
  <si>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</si>
  <si>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</si>
  <si>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</si>
  <si>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</si>
  <si>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</si>
  <si>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</si>
  <si>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</si>
  <si>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</si>
  <si>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</si>
  <si>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</si>
  <si>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</si>
  <si>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</si>
  <si>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</si>
  <si>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</si>
  <si>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</si>
  <si>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</si>
  <si>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</si>
  <si>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</si>
  <si>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</si>
  <si>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</si>
  <si>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</si>
  <si>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</si>
  <si>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</si>
  <si>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</si>
  <si>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</si>
  <si>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</si>
  <si>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</si>
  <si>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</si>
  <si>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</si>
  <si>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</si>
  <si>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</si>
  <si>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</si>
  <si>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</si>
  <si>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</si>
  <si>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</si>
  <si>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</si>
  <si>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</si>
  <si>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</si>
  <si>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</si>
  <si>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</si>
  <si>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</si>
  <si>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</si>
  <si>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</si>
  <si>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</si>
  <si>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</si>
  <si>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</si>
  <si>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</si>
  <si>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</si>
  <si>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</si>
  <si>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</si>
  <si>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</si>
  <si>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</si>
  <si>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</si>
  <si>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</si>
  <si>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</si>
  <si>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</si>
  <si>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</si>
  <si>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</si>
  <si>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</si>
  <si>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</si>
  <si>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</si>
  <si>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</si>
  <si>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</si>
  <si>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</si>
  <si>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</si>
  <si>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</si>
  <si>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</si>
  <si>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</si>
  <si>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</si>
  <si>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</si>
  <si>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</si>
  <si>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</si>
  <si>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</si>
  <si>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</si>
  <si>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</si>
  <si>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</si>
  <si>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</si>
  <si>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</si>
  <si>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</si>
  <si>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</si>
  <si>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</si>
  <si>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</si>
  <si>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</si>
  <si>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</si>
  <si>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</si>
  <si>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</si>
  <si>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</si>
  <si>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</si>
  <si>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</si>
  <si>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</si>
  <si>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</si>
  <si>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</si>
  <si>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</si>
  <si>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</si>
  <si>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</si>
  <si>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</si>
  <si>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</si>
  <si>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 (НДС)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</si>
  <si>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</si>
  <si>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</si>
  <si>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</si>
  <si>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</si>
  <si>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</si>
  <si>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</si>
  <si>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</si>
  <si>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</si>
  <si>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</si>
  <si>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</si>
  <si>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</si>
  <si>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</si>
  <si>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</si>
  <si>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</si>
  <si>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</si>
  <si>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</si>
  <si>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</si>
  <si>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</si>
  <si>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</si>
  <si>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</si>
  <si>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</si>
  <si>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</si>
  <si>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</si>
  <si>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</si>
  <si>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</si>
  <si>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</si>
  <si>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</si>
  <si>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</si>
  <si>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</si>
  <si>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</si>
  <si>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</si>
  <si>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</si>
  <si>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</si>
  <si>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</si>
  <si>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</si>
  <si>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</si>
  <si>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</si>
  <si>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</si>
  <si>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</si>
  <si>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</si>
  <si>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</si>
  <si>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</si>
  <si>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</si>
  <si>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</si>
  <si>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</si>
  <si>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</si>
  <si>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</si>
  <si>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</si>
  <si>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</si>
  <si>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</si>
  <si>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</si>
  <si>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</si>
  <si>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</si>
  <si>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</si>
  <si>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</si>
  <si>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</si>
  <si>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</si>
  <si>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</si>
  <si>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</si>
  <si>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</si>
  <si>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</si>
  <si>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</si>
  <si>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</si>
  <si>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</si>
  <si>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</si>
  <si>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</si>
  <si>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</si>
  <si>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</si>
  <si>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</si>
  <si>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</si>
  <si>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</si>
  <si>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</si>
  <si>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</si>
  <si>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</si>
  <si>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</si>
  <si>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</si>
  <si>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</si>
  <si>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</si>
  <si>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</si>
  <si>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</si>
  <si>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</si>
  <si>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</si>
  <si>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</si>
  <si>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</si>
  <si>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</si>
  <si>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</si>
  <si>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</si>
  <si>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</si>
  <si>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</si>
  <si>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</si>
  <si>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</si>
  <si>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</si>
  <si>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</si>
  <si>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</si>
  <si>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</si>
  <si>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</si>
  <si>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</si>
  <si>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</si>
  <si>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</si>
  <si>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</si>
  <si>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</si>
  <si>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</si>
  <si>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</si>
  <si>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</si>
  <si>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</si>
  <si>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</si>
  <si>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</si>
  <si>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</si>
  <si>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</si>
  <si>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</si>
  <si>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</si>
  <si>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</si>
  <si>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</si>
  <si>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</si>
  <si>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</si>
  <si>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</si>
  <si>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</si>
  <si>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</si>
  <si>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</si>
  <si>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</si>
  <si>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</si>
  <si>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</si>
  <si>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</si>
  <si>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</si>
  <si>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</si>
  <si>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</si>
  <si>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</si>
  <si>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</si>
  <si>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</si>
  <si>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</si>
  <si>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</si>
  <si>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</si>
  <si>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</si>
  <si>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</si>
  <si>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</si>
  <si>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</si>
  <si>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</si>
  <si>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</si>
  <si>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</si>
  <si>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</si>
  <si>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</si>
  <si>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</si>
  <si>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</si>
  <si>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</si>
  <si>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</si>
  <si>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</si>
  <si>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</si>
  <si>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</si>
  <si>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</si>
  <si>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</si>
  <si>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</si>
  <si>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</si>
  <si>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</si>
  <si>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</si>
  <si>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</si>
  <si>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</si>
  <si>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</si>
  <si>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</si>
  <si>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</si>
  <si>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</si>
  <si>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</si>
  <si>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</si>
  <si>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</si>
  <si>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</si>
  <si>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</si>
  <si>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</si>
  <si>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</si>
  <si>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</si>
  <si>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</si>
  <si>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</si>
  <si>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</si>
  <si>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</si>
  <si>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</si>
  <si>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</si>
  <si>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</si>
  <si>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</si>
  <si>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</si>
  <si>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</si>
  <si>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</si>
  <si>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</si>
  <si>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</si>
  <si>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</si>
  <si>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</si>
  <si>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</si>
  <si>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</si>
  <si>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</si>
  <si>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</si>
  <si>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</si>
  <si>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</si>
  <si>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</si>
  <si>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</si>
  <si>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</si>
  <si>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</si>
  <si>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</si>
  <si>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</si>
  <si>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</si>
  <si>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</si>
  <si>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</si>
  <si>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</si>
  <si>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>Факт (Предложение по корректировке утвержденного плана)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</si>
  <si>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</si>
  <si>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</si>
  <si>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</si>
  <si>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</si>
  <si>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</si>
  <si>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</si>
  <si>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</si>
  <si>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</si>
  <si>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</si>
  <si>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</si>
  <si>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</si>
  <si>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</si>
  <si>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</si>
  <si>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</si>
  <si>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</si>
  <si>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</si>
  <si>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</si>
  <si>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</si>
  <si>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</si>
  <si>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</si>
  <si>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</si>
  <si>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</si>
  <si>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</si>
  <si>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</si>
  <si>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</si>
  <si>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</si>
  <si>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</si>
  <si>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</si>
  <si>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</si>
  <si>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</si>
  <si>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</si>
  <si>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</si>
  <si>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</si>
  <si>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</si>
  <si>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</si>
  <si>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</si>
  <si>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</si>
  <si>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</si>
  <si>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</si>
  <si>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</si>
  <si>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</si>
  <si>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</si>
  <si>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</si>
  <si>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</si>
  <si>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</si>
  <si>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</si>
  <si>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</si>
  <si>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</si>
  <si>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</si>
  <si>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</si>
  <si>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</si>
  <si>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</si>
  <si>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</si>
  <si>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</si>
  <si>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</si>
  <si>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</si>
  <si>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</si>
  <si>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</si>
  <si>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</si>
  <si>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</si>
  <si>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</si>
  <si>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</si>
  <si>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</si>
  <si>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</si>
  <si>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</si>
  <si>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</si>
  <si>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</si>
  <si>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</si>
  <si>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</si>
  <si>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</si>
  <si>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</si>
  <si>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</si>
  <si>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</si>
  <si>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</si>
  <si>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</si>
  <si>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</si>
  <si>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</si>
  <si>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</si>
  <si>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</si>
  <si>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</si>
  <si>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</si>
  <si>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</si>
  <si>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</si>
  <si>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</si>
  <si>
    <t>Владивостокский городской округ / Шкотовский муниципальный район</t>
  </si>
  <si>
    <t>РТП-6/0,4кВ Мой дом</t>
  </si>
  <si>
    <t>КТПН-803</t>
  </si>
  <si>
    <t>ВЛ-0,4кВ ф. Деревня ТП-1</t>
  </si>
  <si>
    <t>ВЛ-6 кВ ф.5 ПС "Горностай" - ТП873</t>
  </si>
  <si>
    <t>ВЛ-6 кВ ф.17 ПС "Горностай" - ТП874</t>
  </si>
  <si>
    <t>ЛЭП-0,22 от СТП-10/0,4кВ Хутор</t>
  </si>
  <si>
    <t>2021</t>
  </si>
  <si>
    <t>иных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</si>
</sst>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[$-419]mmmm\ yyyy;@"/>
    <numFmt numFmtId="166" formatCode="0_ ;\-0\ "/>
    <numFmt numFmtId="167" formatCode="_-* #,##0.000\ _₽_-;\-* #,##0.000\ _₽_-;_-* &quot;-&quot;??\ _₽_-;_-@_-"/>
    <numFmt numFmtId="168" formatCode="_-* #,##0.00\ _₽_-;\-* #,##0.00\ _₽_-;_-* &quot;-&quot;???\ _₽_-;_-@_-"/>
    <numFmt numFmtId="169" formatCode="dd/mm/yy;@"/>
    <numFmt numFmtId="170" formatCode="#,##0.0000"/>
    <numFmt numFmtId="171" formatCode="_-* #,##0.0\ _₽_-;\-* #,##0.0\ _₽_-;_-* &quot;-&quot;???\ _₽_-;_-@_-"/>
    <numFmt numFmtId="172" formatCode="_-* #,##0\ _₽_-;\-* #,##0\ _₽_-;_-* &quot;-&quot;???\ _₽_-;_-@_-"/>
    <numFmt numFmtId="173" formatCode="_-* #,##0.0\ _₽_-;\-* #,##0.0\ _₽_-;_-* &quot;-&quot;?\ _₽_-;_-@_-"/>
    <numFmt numFmtId="174" formatCode="_-* #,##0\ _₽_-;\-* #,##0\ _₽_-;_-* &quot;-&quot;?\ _₽_-;_-@_-"/>
    <numFmt numFmtId="175" formatCode="_-* #,##0.00\ _₽_-;\-* #,##0.00\ _₽_-;_-* &quot;-&quot;\ _₽_-;_-@_-"/>
    <numFmt numFmtId="176" formatCode="_-* #,##0.000\ _₽_-;\-* #,##0.000\ _₽_-;_-* &quot;-&quot;\ _₽_-;_-@_-"/>
    <numFmt numFmtId="177" formatCode="#,##0.000"/>
    <numFmt numFmtId="178" formatCode="0.000"/>
    <numFmt numFmtId="179" formatCode="#,##0.0"/>
    <numFmt numFmtId="180" formatCode="_-* #,##0.0\ _₽_-;\-* #,##0.0\ _₽_-;_-* &quot;-&quot;\ _₽_-;_-@_-"/>
  </numFmts>
  <fonts count="7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sz val="8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85"/>
      <name val="Times New Roman"/>
      <family val="1"/>
      <charset val="204"/>
    </font>
    <font>
      <sz val="5.85"/>
      <color rgb="FFFF0000"/>
      <name val="Times New Roman"/>
      <family val="1"/>
      <charset val="204"/>
    </font>
    <font>
      <b/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1" fillId="0" borderId="0"/>
    <xf numFmtId="0" fontId="2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43" fillId="0" borderId="0"/>
    <xf numFmtId="0" fontId="49" fillId="0" borderId="0"/>
  </cellStyleXfs>
  <cellXfs count="854">
    <xf numFmtId="0" fontId="0" fillId="0" borderId="0" xfId="0"/>
    <xf numFmtId="0" fontId="5" fillId="0" borderId="0" xfId="1" applyFont="1" applyFill="1"/>
    <xf numFmtId="0" fontId="6" fillId="0" borderId="0" xfId="1" applyFont="1" applyFill="1"/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7" fillId="0" borderId="0" xfId="0" applyFont="1"/>
    <xf numFmtId="0" fontId="6" fillId="0" borderId="2" xfId="1" applyFont="1" applyFill="1" applyBorder="1" applyAlignment="1">
      <alignment horizontal="left" vertical="center" wrapText="1"/>
    </xf>
    <xf numFmtId="0" fontId="0" fillId="0" borderId="1" xfId="0" applyBorder="1"/>
    <xf numFmtId="49" fontId="7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0" xfId="0" applyFill="1"/>
    <xf numFmtId="0" fontId="3" fillId="0" borderId="0" xfId="0" applyFont="1"/>
    <xf numFmtId="0" fontId="3" fillId="4" borderId="1" xfId="0" applyFont="1" applyFill="1" applyBorder="1"/>
    <xf numFmtId="0" fontId="3" fillId="4" borderId="0" xfId="0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3" fillId="2" borderId="0" xfId="0" applyFont="1" applyFill="1"/>
    <xf numFmtId="49" fontId="7" fillId="4" borderId="2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3" fillId="3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0" borderId="0" xfId="0" applyFont="1" applyFill="1"/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1" fontId="11" fillId="0" borderId="0" xfId="0" applyNumberFormat="1" applyFont="1" applyFill="1"/>
    <xf numFmtId="1" fontId="0" fillId="0" borderId="1" xfId="0" applyNumberFormat="1" applyBorder="1"/>
    <xf numFmtId="1" fontId="0" fillId="3" borderId="1" xfId="0" applyNumberFormat="1" applyFill="1" applyBorder="1"/>
    <xf numFmtId="1" fontId="3" fillId="4" borderId="1" xfId="0" applyNumberFormat="1" applyFont="1" applyFill="1" applyBorder="1"/>
    <xf numFmtId="1" fontId="0" fillId="0" borderId="0" xfId="0" applyNumberFormat="1"/>
    <xf numFmtId="165" fontId="11" fillId="0" borderId="0" xfId="0" applyNumberFormat="1" applyFont="1" applyFill="1"/>
    <xf numFmtId="165" fontId="0" fillId="0" borderId="1" xfId="0" applyNumberFormat="1" applyBorder="1"/>
    <xf numFmtId="165" fontId="0" fillId="3" borderId="1" xfId="0" applyNumberFormat="1" applyFill="1" applyBorder="1"/>
    <xf numFmtId="165" fontId="3" fillId="4" borderId="1" xfId="0" applyNumberFormat="1" applyFont="1" applyFill="1" applyBorder="1"/>
    <xf numFmtId="165" fontId="0" fillId="0" borderId="0" xfId="0" applyNumberFormat="1"/>
    <xf numFmtId="0" fontId="0" fillId="0" borderId="13" xfId="0" applyBorder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1" fontId="0" fillId="0" borderId="13" xfId="0" applyNumberFormat="1" applyBorder="1"/>
    <xf numFmtId="165" fontId="0" fillId="0" borderId="13" xfId="0" applyNumberFormat="1" applyBorder="1"/>
    <xf numFmtId="0" fontId="7" fillId="4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/>
    </xf>
    <xf numFmtId="0" fontId="14" fillId="0" borderId="0" xfId="2" applyFont="1"/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0" fontId="7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4" fillId="0" borderId="0" xfId="2" applyFont="1" applyAlignment="1">
      <alignment horizontal="right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11" fillId="0" borderId="0" xfId="0" applyFont="1" applyFill="1" applyAlignment="1"/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2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14" fillId="0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/>
    <xf numFmtId="0" fontId="14" fillId="0" borderId="0" xfId="2" applyFont="1" applyAlignment="1">
      <alignment horizontal="center" vertical="center"/>
    </xf>
    <xf numFmtId="0" fontId="26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4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3" fontId="3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14" fillId="0" borderId="0" xfId="2" applyFont="1" applyFill="1"/>
    <xf numFmtId="164" fontId="33" fillId="4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65" fontId="33" fillId="4" borderId="1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/>
    </xf>
    <xf numFmtId="164" fontId="33" fillId="3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Fill="1" applyAlignment="1">
      <alignment horizontal="right"/>
    </xf>
    <xf numFmtId="0" fontId="10" fillId="0" borderId="0" xfId="0" applyFont="1" applyFill="1" applyAlignment="1"/>
    <xf numFmtId="1" fontId="35" fillId="0" borderId="0" xfId="0" applyNumberFormat="1" applyFont="1" applyFill="1" applyBorder="1" applyAlignment="1">
      <alignment vertical="top"/>
    </xf>
    <xf numFmtId="0" fontId="11" fillId="0" borderId="1" xfId="2" applyFont="1" applyFill="1" applyBorder="1" applyAlignment="1">
      <alignment horizontal="center" vertical="center" textRotation="90" wrapText="1"/>
    </xf>
    <xf numFmtId="164" fontId="18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166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horizontal="center" vertical="center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/>
    <xf numFmtId="0" fontId="37" fillId="0" borderId="0" xfId="4" applyFont="1" applyFill="1" applyBorder="1" applyAlignment="1"/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5" fillId="0" borderId="0" xfId="5" applyFont="1" applyFill="1" applyBorder="1" applyAlignment="1">
      <alignment horizontal="center"/>
    </xf>
    <xf numFmtId="0" fontId="35" fillId="0" borderId="0" xfId="5" applyFont="1" applyFill="1" applyBorder="1" applyAlignment="1"/>
    <xf numFmtId="0" fontId="37" fillId="0" borderId="0" xfId="6" applyFont="1" applyFill="1" applyBorder="1" applyAlignment="1">
      <alignment vertical="center"/>
    </xf>
    <xf numFmtId="0" fontId="38" fillId="0" borderId="1" xfId="6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49" fontId="38" fillId="0" borderId="1" xfId="6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textRotation="90" wrapText="1"/>
    </xf>
    <xf numFmtId="165" fontId="17" fillId="0" borderId="1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166" fontId="33" fillId="3" borderId="1" xfId="0" applyNumberFormat="1" applyFont="1" applyFill="1" applyBorder="1" applyAlignment="1">
      <alignment horizontal="center" vertical="center"/>
    </xf>
    <xf numFmtId="49" fontId="7" fillId="4" borderId="1" xfId="1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6" fillId="0" borderId="13" xfId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1" fillId="0" borderId="0" xfId="2" applyFont="1" applyFill="1" applyAlignment="1">
      <alignment horizontal="right"/>
    </xf>
    <xf numFmtId="0" fontId="11" fillId="0" borderId="1" xfId="0" applyFont="1" applyFill="1" applyBorder="1"/>
    <xf numFmtId="0" fontId="11" fillId="0" borderId="0" xfId="7" applyFont="1"/>
    <xf numFmtId="0" fontId="37" fillId="0" borderId="0" xfId="4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42" fillId="0" borderId="1" xfId="6" applyFont="1" applyFill="1" applyBorder="1" applyAlignment="1">
      <alignment horizontal="center" vertical="center"/>
    </xf>
    <xf numFmtId="49" fontId="42" fillId="0" borderId="1" xfId="6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35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2" applyFont="1" applyFill="1" applyAlignment="1"/>
    <xf numFmtId="0" fontId="6" fillId="0" borderId="0" xfId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/>
    </xf>
    <xf numFmtId="0" fontId="6" fillId="0" borderId="1" xfId="2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1" fillId="0" borderId="1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4" fillId="0" borderId="0" xfId="2" applyFont="1" applyFill="1" applyAlignment="1">
      <alignment horizontal="center"/>
    </xf>
    <xf numFmtId="0" fontId="14" fillId="0" borderId="0" xfId="2" applyFont="1" applyFill="1" applyAlignment="1">
      <alignment horizontal="right" vertical="center"/>
    </xf>
    <xf numFmtId="0" fontId="31" fillId="0" borderId="1" xfId="2" applyFont="1" applyFill="1" applyBorder="1" applyAlignment="1">
      <alignment horizontal="center" vertical="center" textRotation="90" wrapText="1"/>
    </xf>
    <xf numFmtId="49" fontId="14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170" fontId="46" fillId="0" borderId="1" xfId="0" applyNumberFormat="1" applyFont="1" applyBorder="1" applyAlignment="1">
      <alignment horizontal="center" vertical="center" wrapText="1"/>
    </xf>
    <xf numFmtId="170" fontId="4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textRotation="90" wrapText="1"/>
    </xf>
    <xf numFmtId="14" fontId="14" fillId="0" borderId="1" xfId="2" applyNumberFormat="1" applyFont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3" fontId="3" fillId="4" borderId="1" xfId="0" applyNumberFormat="1" applyFont="1" applyFill="1" applyBorder="1"/>
    <xf numFmtId="164" fontId="3" fillId="4" borderId="1" xfId="0" applyNumberFormat="1" applyFont="1" applyFill="1" applyBorder="1"/>
    <xf numFmtId="0" fontId="33" fillId="4" borderId="1" xfId="0" applyFont="1" applyFill="1" applyBorder="1"/>
    <xf numFmtId="1" fontId="33" fillId="4" borderId="1" xfId="0" applyNumberFormat="1" applyFont="1" applyFill="1" applyBorder="1"/>
    <xf numFmtId="43" fontId="33" fillId="4" borderId="1" xfId="0" applyNumberFormat="1" applyFont="1" applyFill="1" applyBorder="1"/>
    <xf numFmtId="165" fontId="33" fillId="4" borderId="1" xfId="0" applyNumberFormat="1" applyFont="1" applyFill="1" applyBorder="1"/>
    <xf numFmtId="164" fontId="33" fillId="4" borderId="1" xfId="0" applyNumberFormat="1" applyFont="1" applyFill="1" applyBorder="1"/>
    <xf numFmtId="0" fontId="33" fillId="4" borderId="0" xfId="0" applyFont="1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33" fillId="4" borderId="1" xfId="0" applyNumberFormat="1" applyFont="1" applyFill="1" applyBorder="1" applyAlignment="1">
      <alignment wrapTex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43" fontId="33" fillId="4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Fill="1" applyBorder="1" applyAlignment="1">
      <alignment horizontal="center" vertical="center" wrapText="1"/>
    </xf>
    <xf numFmtId="43" fontId="33" fillId="2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Border="1" applyAlignment="1">
      <alignment horizontal="center" vertical="center" wrapText="1"/>
    </xf>
    <xf numFmtId="43" fontId="33" fillId="3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43" fontId="0" fillId="0" borderId="13" xfId="0" applyNumberFormat="1" applyBorder="1"/>
    <xf numFmtId="43" fontId="0" fillId="0" borderId="1" xfId="0" applyNumberFormat="1" applyBorder="1"/>
    <xf numFmtId="43" fontId="0" fillId="3" borderId="1" xfId="0" applyNumberFormat="1" applyFill="1" applyBorder="1"/>
    <xf numFmtId="164" fontId="0" fillId="0" borderId="13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3" fillId="4" borderId="0" xfId="0" applyNumberFormat="1" applyFont="1" applyFill="1"/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35" fillId="0" borderId="0" xfId="0" applyFont="1" applyFill="1" applyAlignment="1">
      <alignment horizontal="center"/>
    </xf>
    <xf numFmtId="0" fontId="35" fillId="0" borderId="0" xfId="5" applyFont="1" applyFill="1" applyBorder="1" applyAlignment="1">
      <alignment horizontal="center"/>
    </xf>
    <xf numFmtId="167" fontId="17" fillId="0" borderId="1" xfId="0" applyNumberFormat="1" applyFont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0" fillId="3" borderId="3" xfId="0" applyFill="1" applyBorder="1"/>
    <xf numFmtId="1" fontId="0" fillId="3" borderId="3" xfId="0" applyNumberFormat="1" applyFill="1" applyBorder="1"/>
    <xf numFmtId="165" fontId="0" fillId="3" borderId="3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165" fontId="0" fillId="4" borderId="1" xfId="0" applyNumberFormat="1" applyFill="1" applyBorder="1"/>
    <xf numFmtId="0" fontId="0" fillId="4" borderId="0" xfId="0" applyFill="1"/>
    <xf numFmtId="0" fontId="38" fillId="0" borderId="1" xfId="6" applyFont="1" applyFill="1" applyBorder="1" applyAlignment="1">
      <alignment horizontal="center" vertical="center" textRotation="90" wrapText="1"/>
    </xf>
    <xf numFmtId="164" fontId="0" fillId="4" borderId="1" xfId="0" applyNumberFormat="1" applyFill="1" applyBorder="1"/>
    <xf numFmtId="0" fontId="0" fillId="6" borderId="1" xfId="0" applyFill="1" applyBorder="1"/>
    <xf numFmtId="164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3" fillId="6" borderId="1" xfId="0" applyFont="1" applyFill="1" applyBorder="1"/>
    <xf numFmtId="172" fontId="33" fillId="3" borderId="1" xfId="0" applyNumberFormat="1" applyFont="1" applyFill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33" fillId="4" borderId="1" xfId="0" applyNumberFormat="1" applyFont="1" applyFill="1" applyBorder="1" applyAlignment="1">
      <alignment horizontal="center" vertical="center" wrapText="1"/>
    </xf>
    <xf numFmtId="172" fontId="33" fillId="0" borderId="1" xfId="0" applyNumberFormat="1" applyFont="1" applyBorder="1" applyAlignment="1">
      <alignment horizontal="center" vertical="center" wrapText="1"/>
    </xf>
    <xf numFmtId="171" fontId="17" fillId="0" borderId="0" xfId="0" applyNumberFormat="1" applyFont="1" applyAlignment="1">
      <alignment horizontal="center"/>
    </xf>
    <xf numFmtId="171" fontId="0" fillId="0" borderId="0" xfId="0" applyNumberFormat="1"/>
    <xf numFmtId="171" fontId="0" fillId="3" borderId="0" xfId="0" applyNumberFormat="1" applyFill="1"/>
    <xf numFmtId="171" fontId="3" fillId="4" borderId="0" xfId="0" applyNumberFormat="1" applyFont="1" applyFill="1"/>
    <xf numFmtId="164" fontId="17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Alignment="1">
      <alignment horizontal="center"/>
    </xf>
    <xf numFmtId="172" fontId="0" fillId="0" borderId="0" xfId="0" applyNumberFormat="1"/>
    <xf numFmtId="172" fontId="0" fillId="3" borderId="0" xfId="0" applyNumberFormat="1" applyFill="1"/>
    <xf numFmtId="172" fontId="3" fillId="4" borderId="0" xfId="0" applyNumberFormat="1" applyFont="1" applyFill="1"/>
    <xf numFmtId="172" fontId="0" fillId="4" borderId="1" xfId="0" applyNumberFormat="1" applyFill="1" applyBorder="1"/>
    <xf numFmtId="41" fontId="33" fillId="3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Border="1" applyAlignment="1">
      <alignment horizontal="center" vertical="center" wrapText="1"/>
    </xf>
    <xf numFmtId="173" fontId="17" fillId="0" borderId="0" xfId="0" applyNumberFormat="1" applyFont="1" applyAlignment="1">
      <alignment horizontal="center"/>
    </xf>
    <xf numFmtId="173" fontId="17" fillId="6" borderId="0" xfId="0" applyNumberFormat="1" applyFont="1" applyFill="1" applyAlignment="1">
      <alignment horizontal="center"/>
    </xf>
    <xf numFmtId="173" fontId="0" fillId="0" borderId="0" xfId="0" applyNumberFormat="1"/>
    <xf numFmtId="173" fontId="0" fillId="6" borderId="0" xfId="0" applyNumberFormat="1" applyFill="1"/>
    <xf numFmtId="173" fontId="0" fillId="3" borderId="0" xfId="0" applyNumberFormat="1" applyFill="1"/>
    <xf numFmtId="173" fontId="3" fillId="4" borderId="0" xfId="0" applyNumberFormat="1" applyFont="1" applyFill="1"/>
    <xf numFmtId="173" fontId="3" fillId="6" borderId="0" xfId="0" applyNumberFormat="1" applyFont="1" applyFill="1"/>
    <xf numFmtId="49" fontId="11" fillId="0" borderId="1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47" fillId="0" borderId="0" xfId="0" applyFont="1" applyFill="1"/>
    <xf numFmtId="0" fontId="0" fillId="0" borderId="0" xfId="0" applyFill="1"/>
    <xf numFmtId="49" fontId="6" fillId="0" borderId="2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1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5" fontId="0" fillId="0" borderId="1" xfId="0" applyNumberFormat="1" applyFill="1" applyBorder="1"/>
    <xf numFmtId="164" fontId="0" fillId="0" borderId="1" xfId="0" applyNumberFormat="1" applyFill="1" applyBorder="1" applyAlignment="1">
      <alignment vertical="center"/>
    </xf>
    <xf numFmtId="171" fontId="0" fillId="0" borderId="1" xfId="0" applyNumberFormat="1" applyFill="1" applyBorder="1"/>
    <xf numFmtId="171" fontId="17" fillId="0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Fill="1" applyBorder="1" applyAlignment="1">
      <alignment horizontal="center" vertical="center" wrapText="1"/>
    </xf>
    <xf numFmtId="172" fontId="1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17" fillId="0" borderId="1" xfId="0" applyFont="1" applyFill="1" applyBorder="1" applyAlignment="1">
      <alignment horizontal="center" vertical="center" wrapText="1"/>
    </xf>
    <xf numFmtId="173" fontId="17" fillId="0" borderId="1" xfId="0" applyNumberFormat="1" applyFont="1" applyFill="1" applyBorder="1" applyAlignment="1">
      <alignment horizontal="center" vertical="center" wrapText="1"/>
    </xf>
    <xf numFmtId="174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1" fontId="0" fillId="0" borderId="1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2" fontId="3" fillId="3" borderId="1" xfId="0" applyNumberFormat="1" applyFont="1" applyFill="1" applyBorder="1" applyAlignment="1">
      <alignment horizontal="center" vertical="center"/>
    </xf>
    <xf numFmtId="172" fontId="3" fillId="4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175" fontId="3" fillId="3" borderId="1" xfId="0" applyNumberFormat="1" applyFont="1" applyFill="1" applyBorder="1" applyAlignment="1">
      <alignment horizontal="center" vertical="center"/>
    </xf>
    <xf numFmtId="49" fontId="6" fillId="7" borderId="1" xfId="1" applyNumberFormat="1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 wrapText="1"/>
    </xf>
    <xf numFmtId="43" fontId="17" fillId="7" borderId="1" xfId="0" applyNumberFormat="1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168" fontId="17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7" fontId="17" fillId="7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0" fontId="46" fillId="0" borderId="1" xfId="0" applyNumberFormat="1" applyFont="1" applyFill="1" applyBorder="1" applyAlignment="1">
      <alignment horizontal="center"/>
    </xf>
    <xf numFmtId="4" fontId="4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left" vertical="center" wrapText="1"/>
    </xf>
    <xf numFmtId="0" fontId="14" fillId="0" borderId="1" xfId="2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0" fillId="7" borderId="1" xfId="0" applyFont="1" applyFill="1" applyBorder="1" applyAlignment="1">
      <alignment vertical="center" wrapText="1"/>
    </xf>
    <xf numFmtId="0" fontId="50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164" fontId="17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5" fillId="0" borderId="0" xfId="5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41" fontId="17" fillId="0" borderId="13" xfId="0" applyNumberFormat="1" applyFont="1" applyFill="1" applyBorder="1" applyAlignment="1">
      <alignment horizontal="center" vertical="center" wrapText="1"/>
    </xf>
    <xf numFmtId="169" fontId="17" fillId="0" borderId="13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/>
    </xf>
    <xf numFmtId="0" fontId="3" fillId="0" borderId="0" xfId="0" applyFont="1" applyFill="1"/>
    <xf numFmtId="41" fontId="0" fillId="7" borderId="1" xfId="0" applyNumberFormat="1" applyFill="1" applyBorder="1" applyAlignment="1">
      <alignment horizontal="center" vertical="center"/>
    </xf>
    <xf numFmtId="175" fontId="0" fillId="7" borderId="1" xfId="0" applyNumberFormat="1" applyFill="1" applyBorder="1" applyAlignment="1">
      <alignment horizontal="center" vertical="center"/>
    </xf>
    <xf numFmtId="172" fontId="0" fillId="7" borderId="1" xfId="0" applyNumberForma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/>
    <xf numFmtId="0" fontId="5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1" fontId="17" fillId="7" borderId="1" xfId="0" applyNumberFormat="1" applyFont="1" applyFill="1" applyBorder="1" applyAlignment="1">
      <alignment horizontal="center" vertical="center" wrapText="1"/>
    </xf>
    <xf numFmtId="43" fontId="0" fillId="7" borderId="1" xfId="0" applyNumberFormat="1" applyFill="1" applyBorder="1"/>
    <xf numFmtId="165" fontId="0" fillId="7" borderId="1" xfId="0" applyNumberFormat="1" applyFill="1" applyBorder="1"/>
    <xf numFmtId="164" fontId="1" fillId="7" borderId="3" xfId="0" applyNumberFormat="1" applyFont="1" applyFill="1" applyBorder="1" applyAlignment="1">
      <alignment vertical="center" wrapText="1"/>
    </xf>
    <xf numFmtId="164" fontId="1" fillId="7" borderId="13" xfId="0" applyNumberFormat="1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left" vertical="center" wrapText="1"/>
    </xf>
    <xf numFmtId="0" fontId="0" fillId="7" borderId="1" xfId="0" applyFill="1" applyBorder="1" applyAlignment="1">
      <alignment wrapText="1"/>
    </xf>
    <xf numFmtId="0" fontId="51" fillId="7" borderId="0" xfId="0" applyFont="1" applyFill="1"/>
    <xf numFmtId="0" fontId="48" fillId="7" borderId="0" xfId="0" applyFont="1" applyFill="1"/>
    <xf numFmtId="164" fontId="17" fillId="8" borderId="1" xfId="0" applyNumberFormat="1" applyFont="1" applyFill="1" applyBorder="1" applyAlignment="1">
      <alignment horizontal="center" vertical="center" wrapText="1"/>
    </xf>
    <xf numFmtId="172" fontId="17" fillId="8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1" fontId="17" fillId="8" borderId="1" xfId="0" applyNumberFormat="1" applyFont="1" applyFill="1" applyBorder="1" applyAlignment="1">
      <alignment horizontal="center" vertical="center" wrapText="1"/>
    </xf>
    <xf numFmtId="0" fontId="52" fillId="7" borderId="0" xfId="0" applyFont="1" applyFill="1"/>
    <xf numFmtId="43" fontId="0" fillId="4" borderId="1" xfId="0" applyNumberFormat="1" applyFill="1" applyBorder="1"/>
    <xf numFmtId="172" fontId="17" fillId="7" borderId="1" xfId="0" applyNumberFormat="1" applyFont="1" applyFill="1" applyBorder="1" applyAlignment="1">
      <alignment horizontal="center" vertical="center" wrapText="1"/>
    </xf>
    <xf numFmtId="172" fontId="33" fillId="2" borderId="1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1" fontId="33" fillId="3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ill="1"/>
    <xf numFmtId="1" fontId="3" fillId="4" borderId="0" xfId="0" applyNumberFormat="1" applyFont="1" applyFill="1"/>
    <xf numFmtId="41" fontId="33" fillId="4" borderId="1" xfId="0" applyNumberFormat="1" applyFont="1" applyFill="1" applyBorder="1" applyAlignment="1">
      <alignment horizontal="center" vertical="center" wrapText="1"/>
    </xf>
    <xf numFmtId="41" fontId="33" fillId="0" borderId="1" xfId="0" applyNumberFormat="1" applyFont="1" applyBorder="1" applyAlignment="1">
      <alignment horizontal="center" vertical="center" wrapText="1"/>
    </xf>
    <xf numFmtId="41" fontId="33" fillId="2" borderId="1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horizontal="center"/>
    </xf>
    <xf numFmtId="41" fontId="0" fillId="0" borderId="0" xfId="0" applyNumberFormat="1"/>
    <xf numFmtId="41" fontId="0" fillId="3" borderId="0" xfId="0" applyNumberFormat="1" applyFill="1"/>
    <xf numFmtId="41" fontId="3" fillId="4" borderId="0" xfId="0" applyNumberFormat="1" applyFont="1" applyFill="1"/>
    <xf numFmtId="41" fontId="0" fillId="4" borderId="1" xfId="0" applyNumberFormat="1" applyFill="1" applyBorder="1"/>
    <xf numFmtId="41" fontId="17" fillId="0" borderId="13" xfId="0" applyNumberFormat="1" applyFont="1" applyBorder="1" applyAlignment="1">
      <alignment horizontal="center" vertical="center"/>
    </xf>
    <xf numFmtId="41" fontId="0" fillId="0" borderId="1" xfId="0" applyNumberFormat="1" applyFill="1" applyBorder="1"/>
    <xf numFmtId="0" fontId="0" fillId="7" borderId="1" xfId="0" applyFill="1" applyBorder="1"/>
    <xf numFmtId="164" fontId="17" fillId="2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164" fontId="53" fillId="7" borderId="1" xfId="0" applyNumberFormat="1" applyFont="1" applyFill="1" applyBorder="1" applyAlignment="1">
      <alignment horizontal="center" vertical="center"/>
    </xf>
    <xf numFmtId="0" fontId="54" fillId="7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4" fillId="2" borderId="1" xfId="2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17" fillId="0" borderId="13" xfId="0" applyFont="1" applyFill="1" applyBorder="1" applyAlignment="1">
      <alignment horizontal="left" vertical="center" wrapText="1"/>
    </xf>
    <xf numFmtId="172" fontId="3" fillId="4" borderId="1" xfId="0" applyNumberFormat="1" applyFont="1" applyFill="1" applyBorder="1"/>
    <xf numFmtId="41" fontId="3" fillId="4" borderId="1" xfId="0" applyNumberFormat="1" applyFont="1" applyFill="1" applyBorder="1"/>
    <xf numFmtId="0" fontId="46" fillId="0" borderId="1" xfId="0" applyFont="1" applyBorder="1"/>
    <xf numFmtId="0" fontId="55" fillId="0" borderId="0" xfId="8" applyFont="1"/>
    <xf numFmtId="0" fontId="55" fillId="0" borderId="0" xfId="8" applyFont="1" applyAlignment="1">
      <alignment horizontal="center"/>
    </xf>
    <xf numFmtId="0" fontId="55" fillId="0" borderId="0" xfId="8" applyFont="1" applyAlignment="1">
      <alignment horizontal="right"/>
    </xf>
    <xf numFmtId="0" fontId="56" fillId="0" borderId="0" xfId="8" applyFont="1"/>
    <xf numFmtId="0" fontId="56" fillId="0" borderId="0" xfId="8" applyFont="1" applyAlignment="1">
      <alignment horizontal="center"/>
    </xf>
    <xf numFmtId="0" fontId="57" fillId="0" borderId="0" xfId="8" applyFont="1"/>
    <xf numFmtId="0" fontId="57" fillId="0" borderId="0" xfId="8" applyFont="1" applyAlignment="1">
      <alignment horizontal="right"/>
    </xf>
    <xf numFmtId="49" fontId="57" fillId="0" borderId="10" xfId="8" applyNumberFormat="1" applyFont="1" applyBorder="1" applyAlignment="1">
      <alignment horizontal="center"/>
    </xf>
    <xf numFmtId="0" fontId="57" fillId="0" borderId="0" xfId="8" applyFont="1" applyAlignment="1">
      <alignment horizontal="left"/>
    </xf>
    <xf numFmtId="0" fontId="57" fillId="0" borderId="0" xfId="8" applyFont="1" applyAlignment="1">
      <alignment horizontal="center"/>
    </xf>
    <xf numFmtId="0" fontId="55" fillId="0" borderId="0" xfId="8" applyFont="1" applyAlignment="1">
      <alignment horizontal="left"/>
    </xf>
    <xf numFmtId="49" fontId="55" fillId="0" borderId="10" xfId="8" applyNumberFormat="1" applyFont="1" applyBorder="1" applyAlignment="1">
      <alignment horizontal="center"/>
    </xf>
    <xf numFmtId="0" fontId="58" fillId="0" borderId="0" xfId="8" applyFont="1" applyAlignment="1">
      <alignment horizontal="left" vertical="top"/>
    </xf>
    <xf numFmtId="0" fontId="59" fillId="0" borderId="0" xfId="8" applyFont="1" applyAlignment="1">
      <alignment vertical="center"/>
    </xf>
    <xf numFmtId="0" fontId="60" fillId="0" borderId="20" xfId="8" applyFont="1" applyBorder="1" applyAlignment="1">
      <alignment horizontal="center" vertical="center" wrapText="1"/>
    </xf>
    <xf numFmtId="0" fontId="60" fillId="0" borderId="21" xfId="8" applyFont="1" applyBorder="1" applyAlignment="1">
      <alignment horizontal="center" vertical="center" wrapText="1"/>
    </xf>
    <xf numFmtId="0" fontId="60" fillId="0" borderId="0" xfId="8" applyFont="1"/>
    <xf numFmtId="0" fontId="60" fillId="0" borderId="27" xfId="8" applyFont="1" applyBorder="1" applyAlignment="1">
      <alignment horizontal="center" vertical="center" wrapText="1"/>
    </xf>
    <xf numFmtId="0" fontId="60" fillId="0" borderId="1" xfId="8" applyFont="1" applyBorder="1" applyAlignment="1">
      <alignment horizontal="center" vertical="center" wrapText="1"/>
    </xf>
    <xf numFmtId="0" fontId="60" fillId="0" borderId="28" xfId="8" applyFont="1" applyBorder="1" applyAlignment="1">
      <alignment horizontal="center" vertical="center" wrapText="1"/>
    </xf>
    <xf numFmtId="0" fontId="61" fillId="0" borderId="33" xfId="8" applyFont="1" applyBorder="1" applyAlignment="1">
      <alignment horizontal="center" vertical="top"/>
    </xf>
    <xf numFmtId="0" fontId="61" fillId="0" borderId="34" xfId="8" applyFont="1" applyBorder="1" applyAlignment="1">
      <alignment horizontal="center" vertical="top"/>
    </xf>
    <xf numFmtId="0" fontId="61" fillId="0" borderId="35" xfId="8" applyFont="1" applyBorder="1" applyAlignment="1">
      <alignment horizontal="center" vertical="top"/>
    </xf>
    <xf numFmtId="0" fontId="61" fillId="0" borderId="35" xfId="8" applyFont="1" applyFill="1" applyBorder="1" applyAlignment="1">
      <alignment horizontal="center" vertical="top"/>
    </xf>
    <xf numFmtId="0" fontId="61" fillId="0" borderId="0" xfId="8" applyFont="1" applyAlignment="1">
      <alignment vertical="top"/>
    </xf>
    <xf numFmtId="0" fontId="56" fillId="0" borderId="0" xfId="8" applyFont="1" applyAlignment="1">
      <alignment vertical="top"/>
    </xf>
    <xf numFmtId="0" fontId="62" fillId="7" borderId="41" xfId="8" applyFont="1" applyFill="1" applyBorder="1" applyAlignment="1">
      <alignment horizontal="center" vertical="center"/>
    </xf>
    <xf numFmtId="0" fontId="62" fillId="7" borderId="21" xfId="8" applyFont="1" applyFill="1" applyBorder="1" applyAlignment="1">
      <alignment horizontal="center" vertical="center"/>
    </xf>
    <xf numFmtId="177" fontId="62" fillId="7" borderId="21" xfId="8" applyNumberFormat="1" applyFont="1" applyFill="1" applyBorder="1" applyAlignment="1">
      <alignment horizontal="center" vertical="center"/>
    </xf>
    <xf numFmtId="0" fontId="62" fillId="0" borderId="0" xfId="8" applyFont="1" applyAlignment="1">
      <alignment vertical="center"/>
    </xf>
    <xf numFmtId="0" fontId="62" fillId="0" borderId="28" xfId="8" applyFont="1" applyBorder="1" applyAlignment="1">
      <alignment horizontal="center" vertical="center"/>
    </xf>
    <xf numFmtId="0" fontId="62" fillId="0" borderId="27" xfId="8" applyFont="1" applyBorder="1" applyAlignment="1">
      <alignment horizontal="center" vertical="center"/>
    </xf>
    <xf numFmtId="0" fontId="62" fillId="0" borderId="1" xfId="8" applyFont="1" applyBorder="1" applyAlignment="1">
      <alignment horizontal="center" vertical="center"/>
    </xf>
    <xf numFmtId="0" fontId="62" fillId="5" borderId="28" xfId="8" applyFont="1" applyFill="1" applyBorder="1" applyAlignment="1">
      <alignment horizontal="center" vertical="center"/>
    </xf>
    <xf numFmtId="0" fontId="62" fillId="5" borderId="1" xfId="8" applyFont="1" applyFill="1" applyBorder="1" applyAlignment="1">
      <alignment horizontal="center" vertical="center"/>
    </xf>
    <xf numFmtId="177" fontId="62" fillId="5" borderId="1" xfId="8" applyNumberFormat="1" applyFont="1" applyFill="1" applyBorder="1" applyAlignment="1">
      <alignment horizontal="center" vertical="center"/>
    </xf>
    <xf numFmtId="178" fontId="62" fillId="5" borderId="1" xfId="8" applyNumberFormat="1" applyFont="1" applyFill="1" applyBorder="1" applyAlignment="1">
      <alignment horizontal="center" vertical="center"/>
    </xf>
    <xf numFmtId="0" fontId="63" fillId="5" borderId="1" xfId="8" applyFont="1" applyFill="1" applyBorder="1" applyAlignment="1">
      <alignment horizontal="center" vertical="center"/>
    </xf>
    <xf numFmtId="0" fontId="62" fillId="7" borderId="28" xfId="8" applyFont="1" applyFill="1" applyBorder="1" applyAlignment="1">
      <alignment horizontal="center" vertical="center"/>
    </xf>
    <xf numFmtId="0" fontId="62" fillId="7" borderId="1" xfId="8" applyFont="1" applyFill="1" applyBorder="1" applyAlignment="1">
      <alignment horizontal="center" vertical="center"/>
    </xf>
    <xf numFmtId="177" fontId="62" fillId="7" borderId="1" xfId="8" applyNumberFormat="1" applyFont="1" applyFill="1" applyBorder="1" applyAlignment="1">
      <alignment horizontal="center" vertical="center"/>
    </xf>
    <xf numFmtId="0" fontId="62" fillId="5" borderId="43" xfId="8" applyFont="1" applyFill="1" applyBorder="1" applyAlignment="1">
      <alignment horizontal="center" vertical="center"/>
    </xf>
    <xf numFmtId="0" fontId="62" fillId="5" borderId="3" xfId="8" applyFont="1" applyFill="1" applyBorder="1" applyAlignment="1">
      <alignment horizontal="center" vertical="center"/>
    </xf>
    <xf numFmtId="0" fontId="62" fillId="5" borderId="33" xfId="8" applyFont="1" applyFill="1" applyBorder="1" applyAlignment="1">
      <alignment horizontal="center" vertical="center"/>
    </xf>
    <xf numFmtId="0" fontId="62" fillId="5" borderId="35" xfId="8" applyFont="1" applyFill="1" applyBorder="1" applyAlignment="1">
      <alignment horizontal="center" vertical="center"/>
    </xf>
    <xf numFmtId="177" fontId="62" fillId="0" borderId="28" xfId="8" applyNumberFormat="1" applyFont="1" applyBorder="1" applyAlignment="1">
      <alignment horizontal="center" vertical="center"/>
    </xf>
    <xf numFmtId="0" fontId="64" fillId="7" borderId="1" xfId="8" applyFont="1" applyFill="1" applyBorder="1" applyAlignment="1">
      <alignment horizontal="center" vertical="center"/>
    </xf>
    <xf numFmtId="177" fontId="64" fillId="7" borderId="1" xfId="8" applyNumberFormat="1" applyFont="1" applyFill="1" applyBorder="1" applyAlignment="1">
      <alignment horizontal="center" vertical="center"/>
    </xf>
    <xf numFmtId="177" fontId="62" fillId="0" borderId="1" xfId="8" applyNumberFormat="1" applyFont="1" applyBorder="1" applyAlignment="1">
      <alignment horizontal="center" vertical="center"/>
    </xf>
    <xf numFmtId="0" fontId="62" fillId="0" borderId="33" xfId="8" applyFont="1" applyBorder="1" applyAlignment="1">
      <alignment horizontal="center" vertical="center"/>
    </xf>
    <xf numFmtId="0" fontId="62" fillId="0" borderId="35" xfId="8" applyFont="1" applyBorder="1" applyAlignment="1">
      <alignment horizontal="center" vertical="center"/>
    </xf>
    <xf numFmtId="0" fontId="62" fillId="0" borderId="26" xfId="8" applyFont="1" applyBorder="1" applyAlignment="1">
      <alignment horizontal="center" vertical="center"/>
    </xf>
    <xf numFmtId="0" fontId="62" fillId="0" borderId="13" xfId="8" applyFont="1" applyBorder="1" applyAlignment="1">
      <alignment horizontal="center" vertical="center"/>
    </xf>
    <xf numFmtId="0" fontId="62" fillId="0" borderId="0" xfId="8" applyFont="1" applyAlignment="1">
      <alignment vertical="top"/>
    </xf>
    <xf numFmtId="177" fontId="62" fillId="5" borderId="28" xfId="8" applyNumberFormat="1" applyFont="1" applyFill="1" applyBorder="1" applyAlignment="1">
      <alignment horizontal="center" vertical="center"/>
    </xf>
    <xf numFmtId="177" fontId="62" fillId="0" borderId="35" xfId="8" applyNumberFormat="1" applyFont="1" applyBorder="1" applyAlignment="1">
      <alignment horizontal="center" vertical="center"/>
    </xf>
    <xf numFmtId="179" fontId="62" fillId="7" borderId="1" xfId="8" applyNumberFormat="1" applyFont="1" applyFill="1" applyBorder="1" applyAlignment="1">
      <alignment horizontal="center" vertical="center"/>
    </xf>
    <xf numFmtId="179" fontId="62" fillId="0" borderId="1" xfId="8" applyNumberFormat="1" applyFont="1" applyBorder="1" applyAlignment="1">
      <alignment horizontal="center" vertical="center"/>
    </xf>
    <xf numFmtId="179" fontId="62" fillId="0" borderId="28" xfId="8" applyNumberFormat="1" applyFont="1" applyBorder="1" applyAlignment="1">
      <alignment horizontal="center" vertical="center"/>
    </xf>
    <xf numFmtId="179" fontId="62" fillId="5" borderId="1" xfId="8" applyNumberFormat="1" applyFont="1" applyFill="1" applyBorder="1" applyAlignment="1">
      <alignment horizontal="center" vertical="center"/>
    </xf>
    <xf numFmtId="0" fontId="62" fillId="7" borderId="43" xfId="8" applyFont="1" applyFill="1" applyBorder="1" applyAlignment="1">
      <alignment horizontal="center" vertical="center"/>
    </xf>
    <xf numFmtId="0" fontId="62" fillId="7" borderId="3" xfId="8" applyFont="1" applyFill="1" applyBorder="1" applyAlignment="1">
      <alignment horizontal="center" vertical="center"/>
    </xf>
    <xf numFmtId="0" fontId="62" fillId="0" borderId="20" xfId="8" applyFont="1" applyBorder="1" applyAlignment="1">
      <alignment horizontal="center" vertical="center" wrapText="1"/>
    </xf>
    <xf numFmtId="0" fontId="62" fillId="0" borderId="21" xfId="8" applyFont="1" applyBorder="1" applyAlignment="1">
      <alignment horizontal="center" vertical="center" wrapText="1"/>
    </xf>
    <xf numFmtId="0" fontId="62" fillId="0" borderId="0" xfId="8" applyFont="1"/>
    <xf numFmtId="0" fontId="62" fillId="0" borderId="27" xfId="8" applyFont="1" applyBorder="1" applyAlignment="1">
      <alignment horizontal="center" vertical="center" wrapText="1"/>
    </xf>
    <xf numFmtId="0" fontId="62" fillId="0" borderId="1" xfId="8" applyFont="1" applyBorder="1" applyAlignment="1">
      <alignment horizontal="center" vertical="center" wrapText="1"/>
    </xf>
    <xf numFmtId="0" fontId="62" fillId="0" borderId="28" xfId="8" applyFont="1" applyBorder="1" applyAlignment="1">
      <alignment horizontal="center" vertical="center" wrapText="1"/>
    </xf>
    <xf numFmtId="0" fontId="65" fillId="0" borderId="33" xfId="8" applyFont="1" applyBorder="1" applyAlignment="1">
      <alignment horizontal="center" vertical="top"/>
    </xf>
    <xf numFmtId="0" fontId="65" fillId="0" borderId="34" xfId="8" applyFont="1" applyBorder="1" applyAlignment="1">
      <alignment horizontal="center" vertical="top"/>
    </xf>
    <xf numFmtId="0" fontId="65" fillId="0" borderId="35" xfId="8" applyFont="1" applyBorder="1" applyAlignment="1">
      <alignment horizontal="center" vertical="top"/>
    </xf>
    <xf numFmtId="0" fontId="65" fillId="0" borderId="0" xfId="8" applyFont="1" applyAlignment="1">
      <alignment vertical="top"/>
    </xf>
    <xf numFmtId="0" fontId="62" fillId="0" borderId="33" xfId="8" applyFont="1" applyBorder="1" applyAlignment="1">
      <alignment horizontal="center" vertical="center" wrapText="1"/>
    </xf>
    <xf numFmtId="0" fontId="66" fillId="0" borderId="40" xfId="8" applyFont="1" applyBorder="1" applyAlignment="1">
      <alignment horizontal="left"/>
    </xf>
    <xf numFmtId="0" fontId="66" fillId="0" borderId="0" xfId="8" applyFont="1" applyAlignment="1">
      <alignment horizontal="left"/>
    </xf>
    <xf numFmtId="0" fontId="67" fillId="0" borderId="0" xfId="8" applyFont="1" applyAlignment="1">
      <alignment horizontal="left"/>
    </xf>
    <xf numFmtId="0" fontId="62" fillId="0" borderId="0" xfId="8" applyFont="1" applyAlignment="1">
      <alignment horizontal="left"/>
    </xf>
    <xf numFmtId="164" fontId="1" fillId="7" borderId="1" xfId="0" applyNumberFormat="1" applyFont="1" applyFill="1" applyBorder="1" applyAlignment="1">
      <alignment vertical="center" wrapText="1"/>
    </xf>
    <xf numFmtId="169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171" fontId="1" fillId="7" borderId="1" xfId="0" applyNumberFormat="1" applyFont="1" applyFill="1" applyBorder="1" applyAlignment="1">
      <alignment vertical="center" wrapText="1"/>
    </xf>
    <xf numFmtId="41" fontId="1" fillId="7" borderId="1" xfId="0" applyNumberFormat="1" applyFont="1" applyFill="1" applyBorder="1" applyAlignment="1">
      <alignment vertical="center" wrapText="1"/>
    </xf>
    <xf numFmtId="0" fontId="70" fillId="7" borderId="1" xfId="0" applyFont="1" applyFill="1" applyBorder="1" applyAlignment="1">
      <alignment vertical="center" wrapText="1"/>
    </xf>
    <xf numFmtId="180" fontId="1" fillId="7" borderId="1" xfId="0" applyNumberFormat="1" applyFont="1" applyFill="1" applyBorder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172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1" xfId="0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top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left" vertical="center" wrapText="1"/>
    </xf>
    <xf numFmtId="164" fontId="1" fillId="7" borderId="13" xfId="0" applyNumberFormat="1" applyFont="1" applyFill="1" applyBorder="1" applyAlignment="1">
      <alignment horizontal="left" vertical="center" wrapText="1"/>
    </xf>
    <xf numFmtId="164" fontId="17" fillId="7" borderId="12" xfId="0" applyNumberFormat="1" applyFont="1" applyFill="1" applyBorder="1" applyAlignment="1">
      <alignment horizontal="left" vertical="center" wrapText="1"/>
    </xf>
    <xf numFmtId="164" fontId="17" fillId="7" borderId="13" xfId="0" applyNumberFormat="1" applyFont="1" applyFill="1" applyBorder="1" applyAlignment="1">
      <alignment horizontal="left" vertical="center" wrapText="1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/>
    </xf>
    <xf numFmtId="0" fontId="38" fillId="0" borderId="1" xfId="6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textRotation="90" wrapText="1"/>
    </xf>
    <xf numFmtId="0" fontId="39" fillId="0" borderId="0" xfId="4" applyFont="1" applyFill="1" applyBorder="1" applyAlignment="1">
      <alignment horizontal="center"/>
    </xf>
    <xf numFmtId="0" fontId="37" fillId="0" borderId="0" xfId="4" applyFont="1" applyFill="1" applyBorder="1" applyAlignment="1">
      <alignment horizontal="center" wrapText="1"/>
    </xf>
    <xf numFmtId="0" fontId="35" fillId="0" borderId="0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center" vertical="top" wrapText="1"/>
    </xf>
    <xf numFmtId="0" fontId="38" fillId="0" borderId="3" xfId="6" applyFont="1" applyFill="1" applyBorder="1" applyAlignment="1">
      <alignment horizontal="center" vertical="center" wrapText="1"/>
    </xf>
    <xf numFmtId="0" fontId="38" fillId="0" borderId="12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8" fillId="0" borderId="4" xfId="6" applyFont="1" applyFill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center" vertical="center" wrapText="1"/>
    </xf>
    <xf numFmtId="0" fontId="38" fillId="0" borderId="6" xfId="6" applyFont="1" applyFill="1" applyBorder="1" applyAlignment="1">
      <alignment horizontal="center" vertical="center" wrapText="1"/>
    </xf>
    <xf numFmtId="0" fontId="38" fillId="0" borderId="9" xfId="6" applyFont="1" applyFill="1" applyBorder="1" applyAlignment="1">
      <alignment horizontal="center" vertical="center" wrapText="1"/>
    </xf>
    <xf numFmtId="0" fontId="38" fillId="0" borderId="10" xfId="6" applyFont="1" applyFill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3" fillId="0" borderId="1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44" fillId="0" borderId="0" xfId="2" applyFont="1" applyAlignment="1">
      <alignment horizontal="center"/>
    </xf>
    <xf numFmtId="0" fontId="6" fillId="0" borderId="0" xfId="1" applyFont="1" applyAlignment="1">
      <alignment horizontal="center" vertical="top"/>
    </xf>
    <xf numFmtId="0" fontId="11" fillId="0" borderId="0" xfId="2" applyFont="1" applyFill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44" fillId="0" borderId="0" xfId="2" applyFont="1" applyFill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7" fillId="7" borderId="12" xfId="0" applyNumberFormat="1" applyFont="1" applyFill="1" applyBorder="1" applyAlignment="1">
      <alignment horizontal="center" vertical="center" wrapText="1"/>
    </xf>
    <xf numFmtId="164" fontId="17" fillId="7" borderId="13" xfId="0" applyNumberFormat="1" applyFont="1" applyFill="1" applyBorder="1" applyAlignment="1">
      <alignment horizontal="center" vertical="center" wrapText="1"/>
    </xf>
    <xf numFmtId="0" fontId="17" fillId="7" borderId="3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62" fillId="0" borderId="29" xfId="8" applyNumberFormat="1" applyFont="1" applyBorder="1" applyAlignment="1">
      <alignment horizontal="center" vertical="center"/>
    </xf>
    <xf numFmtId="49" fontId="62" fillId="0" borderId="30" xfId="8" applyNumberFormat="1" applyFont="1" applyBorder="1" applyAlignment="1">
      <alignment horizontal="center" vertical="center"/>
    </xf>
    <xf numFmtId="0" fontId="62" fillId="0" borderId="31" xfId="8" applyFont="1" applyBorder="1" applyAlignment="1">
      <alignment horizontal="left" vertical="center" wrapText="1" indent="2"/>
    </xf>
    <xf numFmtId="0" fontId="62" fillId="0" borderId="32" xfId="8" applyFont="1" applyBorder="1" applyAlignment="1">
      <alignment horizontal="left" vertical="center" wrapText="1" indent="2"/>
    </xf>
    <xf numFmtId="0" fontId="62" fillId="0" borderId="30" xfId="8" applyFont="1" applyBorder="1" applyAlignment="1">
      <alignment horizontal="left" vertical="center" wrapText="1" indent="2"/>
    </xf>
    <xf numFmtId="49" fontId="62" fillId="0" borderId="42" xfId="8" applyNumberFormat="1" applyFont="1" applyBorder="1" applyAlignment="1">
      <alignment horizontal="center" vertical="center"/>
    </xf>
    <xf numFmtId="49" fontId="62" fillId="0" borderId="8" xfId="8" applyNumberFormat="1" applyFont="1" applyBorder="1" applyAlignment="1">
      <alignment horizontal="center" vertical="center"/>
    </xf>
    <xf numFmtId="0" fontId="62" fillId="0" borderId="2" xfId="8" applyFont="1" applyBorder="1" applyAlignment="1">
      <alignment horizontal="left" vertical="center" wrapText="1" indent="1"/>
    </xf>
    <xf numFmtId="0" fontId="62" fillId="0" borderId="7" xfId="8" applyFont="1" applyBorder="1" applyAlignment="1">
      <alignment horizontal="left" vertical="center" wrapText="1" indent="1"/>
    </xf>
    <xf numFmtId="0" fontId="62" fillId="0" borderId="8" xfId="8" applyFont="1" applyBorder="1" applyAlignment="1">
      <alignment horizontal="left" vertical="center" wrapText="1" indent="1"/>
    </xf>
    <xf numFmtId="0" fontId="62" fillId="0" borderId="2" xfId="8" applyFont="1" applyBorder="1" applyAlignment="1">
      <alignment horizontal="left" vertical="center" wrapText="1" indent="2"/>
    </xf>
    <xf numFmtId="0" fontId="62" fillId="0" borderId="7" xfId="8" applyFont="1" applyBorder="1" applyAlignment="1">
      <alignment horizontal="left" vertical="center" wrapText="1" indent="2"/>
    </xf>
    <xf numFmtId="0" fontId="62" fillId="0" borderId="8" xfId="8" applyFont="1" applyBorder="1" applyAlignment="1">
      <alignment horizontal="left" vertical="center" wrapText="1" indent="2"/>
    </xf>
    <xf numFmtId="0" fontId="62" fillId="0" borderId="31" xfId="8" applyFont="1" applyBorder="1" applyAlignment="1">
      <alignment horizontal="left" vertical="center" wrapText="1" indent="1"/>
    </xf>
    <xf numFmtId="0" fontId="62" fillId="0" borderId="32" xfId="8" applyFont="1" applyBorder="1" applyAlignment="1">
      <alignment horizontal="left" vertical="center" wrapText="1" indent="1"/>
    </xf>
    <xf numFmtId="0" fontId="62" fillId="0" borderId="30" xfId="8" applyFont="1" applyBorder="1" applyAlignment="1">
      <alignment horizontal="left" vertical="center" wrapText="1" indent="1"/>
    </xf>
    <xf numFmtId="49" fontId="62" fillId="0" borderId="25" xfId="8" applyNumberFormat="1" applyFont="1" applyBorder="1" applyAlignment="1">
      <alignment horizontal="center" vertical="center"/>
    </xf>
    <xf numFmtId="49" fontId="62" fillId="0" borderId="11" xfId="8" applyNumberFormat="1" applyFont="1" applyBorder="1" applyAlignment="1">
      <alignment horizontal="center" vertical="center"/>
    </xf>
    <xf numFmtId="0" fontId="62" fillId="0" borderId="9" xfId="8" applyFont="1" applyBorder="1" applyAlignment="1">
      <alignment horizontal="left" vertical="center" wrapText="1"/>
    </xf>
    <xf numFmtId="0" fontId="62" fillId="0" borderId="10" xfId="8" applyFont="1" applyBorder="1" applyAlignment="1">
      <alignment horizontal="left" vertical="center" wrapText="1"/>
    </xf>
    <xf numFmtId="0" fontId="62" fillId="0" borderId="11" xfId="8" applyFont="1" applyBorder="1" applyAlignment="1">
      <alignment horizontal="left" vertical="center" wrapText="1"/>
    </xf>
    <xf numFmtId="0" fontId="62" fillId="0" borderId="2" xfId="8" applyFont="1" applyBorder="1" applyAlignment="1">
      <alignment horizontal="left" vertical="center" wrapText="1" indent="3"/>
    </xf>
    <xf numFmtId="0" fontId="62" fillId="0" borderId="7" xfId="8" applyFont="1" applyBorder="1" applyAlignment="1">
      <alignment horizontal="left" vertical="center" wrapText="1" indent="3"/>
    </xf>
    <xf numFmtId="0" fontId="62" fillId="0" borderId="8" xfId="8" applyFont="1" applyBorder="1" applyAlignment="1">
      <alignment horizontal="left" vertical="center" wrapText="1" indent="3"/>
    </xf>
    <xf numFmtId="49" fontId="62" fillId="5" borderId="42" xfId="8" applyNumberFormat="1" applyFont="1" applyFill="1" applyBorder="1" applyAlignment="1">
      <alignment horizontal="center" vertical="center"/>
    </xf>
    <xf numFmtId="49" fontId="62" fillId="5" borderId="8" xfId="8" applyNumberFormat="1" applyFont="1" applyFill="1" applyBorder="1" applyAlignment="1">
      <alignment horizontal="center" vertical="center"/>
    </xf>
    <xf numFmtId="0" fontId="62" fillId="5" borderId="2" xfId="8" applyFont="1" applyFill="1" applyBorder="1" applyAlignment="1">
      <alignment horizontal="left" vertical="center" wrapText="1" indent="1"/>
    </xf>
    <xf numFmtId="0" fontId="62" fillId="5" borderId="7" xfId="8" applyFont="1" applyFill="1" applyBorder="1" applyAlignment="1">
      <alignment horizontal="left" vertical="center" wrapText="1" indent="1"/>
    </xf>
    <xf numFmtId="0" fontId="62" fillId="5" borderId="8" xfId="8" applyFont="1" applyFill="1" applyBorder="1" applyAlignment="1">
      <alignment horizontal="left" vertical="center" wrapText="1" indent="1"/>
    </xf>
    <xf numFmtId="49" fontId="62" fillId="7" borderId="42" xfId="8" applyNumberFormat="1" applyFont="1" applyFill="1" applyBorder="1" applyAlignment="1">
      <alignment horizontal="center" vertical="center"/>
    </xf>
    <xf numFmtId="49" fontId="62" fillId="7" borderId="8" xfId="8" applyNumberFormat="1" applyFont="1" applyFill="1" applyBorder="1" applyAlignment="1">
      <alignment horizontal="center" vertical="center"/>
    </xf>
    <xf numFmtId="0" fontId="62" fillId="7" borderId="2" xfId="8" applyFont="1" applyFill="1" applyBorder="1" applyAlignment="1">
      <alignment horizontal="left" vertical="center" wrapText="1"/>
    </xf>
    <xf numFmtId="0" fontId="62" fillId="7" borderId="7" xfId="8" applyFont="1" applyFill="1" applyBorder="1" applyAlignment="1">
      <alignment horizontal="left" vertical="center" wrapText="1"/>
    </xf>
    <xf numFmtId="0" fontId="62" fillId="7" borderId="8" xfId="8" applyFont="1" applyFill="1" applyBorder="1" applyAlignment="1">
      <alignment horizontal="left" vertical="center" wrapText="1"/>
    </xf>
    <xf numFmtId="0" fontId="62" fillId="0" borderId="2" xfId="8" applyFont="1" applyBorder="1" applyAlignment="1">
      <alignment horizontal="left" vertical="center" wrapText="1" indent="4"/>
    </xf>
    <xf numFmtId="0" fontId="62" fillId="0" borderId="7" xfId="8" applyFont="1" applyBorder="1" applyAlignment="1">
      <alignment horizontal="left" vertical="center" wrapText="1" indent="4"/>
    </xf>
    <xf numFmtId="0" fontId="62" fillId="0" borderId="8" xfId="8" applyFont="1" applyBorder="1" applyAlignment="1">
      <alignment horizontal="left" vertical="center" wrapText="1" indent="4"/>
    </xf>
    <xf numFmtId="0" fontId="62" fillId="5" borderId="2" xfId="8" applyFont="1" applyFill="1" applyBorder="1" applyAlignment="1">
      <alignment horizontal="left" vertical="center" wrapText="1" indent="2"/>
    </xf>
    <xf numFmtId="0" fontId="62" fillId="5" borderId="7" xfId="8" applyFont="1" applyFill="1" applyBorder="1" applyAlignment="1">
      <alignment horizontal="left" vertical="center" wrapText="1" indent="2"/>
    </xf>
    <xf numFmtId="0" fontId="62" fillId="5" borderId="8" xfId="8" applyFont="1" applyFill="1" applyBorder="1" applyAlignment="1">
      <alignment horizontal="left" vertical="center" wrapText="1" indent="2"/>
    </xf>
    <xf numFmtId="0" fontId="62" fillId="5" borderId="2" xfId="8" applyFont="1" applyFill="1" applyBorder="1" applyAlignment="1">
      <alignment horizontal="left" vertical="center" wrapText="1" indent="3"/>
    </xf>
    <xf numFmtId="0" fontId="62" fillId="5" borderId="7" xfId="8" applyFont="1" applyFill="1" applyBorder="1" applyAlignment="1">
      <alignment horizontal="left" vertical="center" wrapText="1" indent="3"/>
    </xf>
    <xf numFmtId="0" fontId="62" fillId="5" borderId="8" xfId="8" applyFont="1" applyFill="1" applyBorder="1" applyAlignment="1">
      <alignment horizontal="left" vertical="center" wrapText="1" indent="3"/>
    </xf>
    <xf numFmtId="0" fontId="62" fillId="0" borderId="2" xfId="8" applyFont="1" applyBorder="1" applyAlignment="1">
      <alignment horizontal="left" vertical="center" wrapText="1" indent="5"/>
    </xf>
    <xf numFmtId="0" fontId="62" fillId="0" borderId="7" xfId="8" applyFont="1" applyBorder="1" applyAlignment="1">
      <alignment horizontal="left" vertical="center" wrapText="1" indent="5"/>
    </xf>
    <xf numFmtId="0" fontId="62" fillId="0" borderId="8" xfId="8" applyFont="1" applyBorder="1" applyAlignment="1">
      <alignment horizontal="left" vertical="center" wrapText="1" indent="5"/>
    </xf>
    <xf numFmtId="0" fontId="65" fillId="0" borderId="29" xfId="8" applyFont="1" applyBorder="1" applyAlignment="1">
      <alignment horizontal="center" vertical="top"/>
    </xf>
    <xf numFmtId="0" fontId="65" fillId="0" borderId="30" xfId="8" applyFont="1" applyBorder="1" applyAlignment="1">
      <alignment horizontal="center" vertical="top"/>
    </xf>
    <xf numFmtId="0" fontId="65" fillId="0" borderId="31" xfId="8" applyFont="1" applyBorder="1" applyAlignment="1">
      <alignment horizontal="center" vertical="top"/>
    </xf>
    <xf numFmtId="0" fontId="65" fillId="0" borderId="32" xfId="8" applyFont="1" applyBorder="1" applyAlignment="1">
      <alignment horizontal="center" vertical="top"/>
    </xf>
    <xf numFmtId="49" fontId="62" fillId="7" borderId="39" xfId="8" applyNumberFormat="1" applyFont="1" applyFill="1" applyBorder="1" applyAlignment="1">
      <alignment horizontal="left" vertical="center" wrapText="1"/>
    </xf>
    <xf numFmtId="49" fontId="62" fillId="7" borderId="40" xfId="8" applyNumberFormat="1" applyFont="1" applyFill="1" applyBorder="1" applyAlignment="1">
      <alignment horizontal="left" vertical="center" wrapText="1"/>
    </xf>
    <xf numFmtId="49" fontId="62" fillId="7" borderId="23" xfId="8" applyNumberFormat="1" applyFont="1" applyFill="1" applyBorder="1" applyAlignment="1">
      <alignment horizontal="left" vertical="center" wrapText="1"/>
    </xf>
    <xf numFmtId="49" fontId="59" fillId="0" borderId="36" xfId="8" applyNumberFormat="1" applyFont="1" applyBorder="1" applyAlignment="1">
      <alignment horizontal="center" vertical="center"/>
    </xf>
    <xf numFmtId="49" fontId="59" fillId="0" borderId="37" xfId="8" applyNumberFormat="1" applyFont="1" applyBorder="1" applyAlignment="1">
      <alignment horizontal="center" vertical="center"/>
    </xf>
    <xf numFmtId="49" fontId="59" fillId="0" borderId="38" xfId="8" applyNumberFormat="1" applyFont="1" applyBorder="1" applyAlignment="1">
      <alignment horizontal="center" vertical="center"/>
    </xf>
    <xf numFmtId="0" fontId="62" fillId="0" borderId="15" xfId="8" applyFont="1" applyBorder="1" applyAlignment="1">
      <alignment horizontal="center" vertical="center" wrapText="1"/>
    </xf>
    <xf numFmtId="0" fontId="62" fillId="0" borderId="16" xfId="8" applyFont="1" applyBorder="1" applyAlignment="1">
      <alignment horizontal="center" vertical="center" wrapText="1"/>
    </xf>
    <xf numFmtId="0" fontId="62" fillId="0" borderId="25" xfId="8" applyFont="1" applyBorder="1" applyAlignment="1">
      <alignment horizontal="center" vertical="center" wrapText="1"/>
    </xf>
    <xf numFmtId="0" fontId="62" fillId="0" borderId="11" xfId="8" applyFont="1" applyBorder="1" applyAlignment="1">
      <alignment horizontal="center" vertical="center" wrapText="1"/>
    </xf>
    <xf numFmtId="0" fontId="62" fillId="0" borderId="17" xfId="8" applyFont="1" applyBorder="1" applyAlignment="1">
      <alignment horizontal="center" vertical="center" wrapText="1"/>
    </xf>
    <xf numFmtId="0" fontId="62" fillId="0" borderId="18" xfId="8" applyFont="1" applyBorder="1" applyAlignment="1">
      <alignment horizontal="center" vertical="center" wrapText="1"/>
    </xf>
    <xf numFmtId="0" fontId="62" fillId="0" borderId="9" xfId="8" applyFont="1" applyBorder="1" applyAlignment="1">
      <alignment horizontal="center" vertical="center" wrapText="1"/>
    </xf>
    <xf numFmtId="0" fontId="62" fillId="0" borderId="10" xfId="8" applyFont="1" applyBorder="1" applyAlignment="1">
      <alignment horizontal="center" vertical="center" wrapText="1"/>
    </xf>
    <xf numFmtId="0" fontId="62" fillId="0" borderId="19" xfId="8" applyFont="1" applyBorder="1" applyAlignment="1">
      <alignment horizontal="center" vertical="center" wrapText="1"/>
    </xf>
    <xf numFmtId="0" fontId="62" fillId="0" borderId="26" xfId="8" applyFont="1" applyBorder="1" applyAlignment="1">
      <alignment horizontal="center" vertical="center" wrapText="1"/>
    </xf>
    <xf numFmtId="0" fontId="62" fillId="0" borderId="22" xfId="8" applyFont="1" applyBorder="1" applyAlignment="1">
      <alignment horizontal="center" vertical="center" wrapText="1"/>
    </xf>
    <xf numFmtId="0" fontId="62" fillId="0" borderId="23" xfId="8" applyFont="1" applyBorder="1" applyAlignment="1">
      <alignment horizontal="center" vertical="center" wrapText="1"/>
    </xf>
    <xf numFmtId="0" fontId="62" fillId="0" borderId="24" xfId="8" applyFont="1" applyBorder="1" applyAlignment="1">
      <alignment horizontal="center" vertical="center" wrapText="1"/>
    </xf>
    <xf numFmtId="49" fontId="62" fillId="0" borderId="44" xfId="8" applyNumberFormat="1" applyFont="1" applyBorder="1" applyAlignment="1">
      <alignment horizontal="center" vertical="center"/>
    </xf>
    <xf numFmtId="49" fontId="62" fillId="0" borderId="6" xfId="8" applyNumberFormat="1" applyFont="1" applyBorder="1" applyAlignment="1">
      <alignment horizontal="center" vertical="center"/>
    </xf>
    <xf numFmtId="0" fontId="62" fillId="7" borderId="4" xfId="8" applyFont="1" applyFill="1" applyBorder="1" applyAlignment="1">
      <alignment horizontal="left" vertical="center" wrapText="1"/>
    </xf>
    <xf numFmtId="0" fontId="62" fillId="7" borderId="5" xfId="8" applyFont="1" applyFill="1" applyBorder="1" applyAlignment="1">
      <alignment horizontal="left" vertical="center" wrapText="1"/>
    </xf>
    <xf numFmtId="0" fontId="62" fillId="7" borderId="6" xfId="8" applyFont="1" applyFill="1" applyBorder="1" applyAlignment="1">
      <alignment horizontal="left" vertical="center" wrapText="1"/>
    </xf>
    <xf numFmtId="0" fontId="62" fillId="0" borderId="2" xfId="8" applyFont="1" applyBorder="1" applyAlignment="1">
      <alignment horizontal="left" vertical="center" wrapText="1"/>
    </xf>
    <xf numFmtId="0" fontId="62" fillId="0" borderId="7" xfId="8" applyFont="1" applyBorder="1" applyAlignment="1">
      <alignment horizontal="left" vertical="center" wrapText="1"/>
    </xf>
    <xf numFmtId="0" fontId="62" fillId="0" borderId="8" xfId="8" applyFont="1" applyBorder="1" applyAlignment="1">
      <alignment horizontal="left" vertical="center" wrapText="1"/>
    </xf>
    <xf numFmtId="0" fontId="62" fillId="7" borderId="2" xfId="8" applyFont="1" applyFill="1" applyBorder="1" applyAlignment="1">
      <alignment horizontal="left" vertical="center" wrapText="1" indent="1"/>
    </xf>
    <xf numFmtId="0" fontId="62" fillId="7" borderId="7" xfId="8" applyFont="1" applyFill="1" applyBorder="1" applyAlignment="1">
      <alignment horizontal="left" vertical="center" wrapText="1" indent="1"/>
    </xf>
    <xf numFmtId="0" fontId="62" fillId="7" borderId="8" xfId="8" applyFont="1" applyFill="1" applyBorder="1" applyAlignment="1">
      <alignment horizontal="left" vertical="center" wrapText="1" indent="1"/>
    </xf>
    <xf numFmtId="0" fontId="62" fillId="0" borderId="31" xfId="8" applyFont="1" applyBorder="1" applyAlignment="1">
      <alignment horizontal="left" vertical="center" wrapText="1" indent="3"/>
    </xf>
    <xf numFmtId="0" fontId="62" fillId="0" borderId="32" xfId="8" applyFont="1" applyBorder="1" applyAlignment="1">
      <alignment horizontal="left" vertical="center" wrapText="1" indent="3"/>
    </xf>
    <xf numFmtId="0" fontId="62" fillId="0" borderId="30" xfId="8" applyFont="1" applyBorder="1" applyAlignment="1">
      <alignment horizontal="left" vertical="center" wrapText="1" indent="3"/>
    </xf>
    <xf numFmtId="0" fontId="55" fillId="0" borderId="36" xfId="8" applyFont="1" applyBorder="1" applyAlignment="1">
      <alignment horizontal="center"/>
    </xf>
    <xf numFmtId="0" fontId="55" fillId="0" borderId="37" xfId="8" applyFont="1" applyBorder="1" applyAlignment="1">
      <alignment horizontal="center"/>
    </xf>
    <xf numFmtId="0" fontId="55" fillId="0" borderId="38" xfId="8" applyFont="1" applyBorder="1" applyAlignment="1">
      <alignment horizontal="center"/>
    </xf>
    <xf numFmtId="0" fontId="62" fillId="0" borderId="31" xfId="8" applyFont="1" applyBorder="1" applyAlignment="1">
      <alignment horizontal="left" vertical="center" wrapText="1"/>
    </xf>
    <xf numFmtId="0" fontId="62" fillId="0" borderId="32" xfId="8" applyFont="1" applyBorder="1" applyAlignment="1">
      <alignment horizontal="left" vertical="center" wrapText="1"/>
    </xf>
    <xf numFmtId="0" fontId="62" fillId="0" borderId="30" xfId="8" applyFont="1" applyBorder="1" applyAlignment="1">
      <alignment horizontal="left" vertical="center" wrapText="1"/>
    </xf>
    <xf numFmtId="49" fontId="62" fillId="7" borderId="39" xfId="8" applyNumberFormat="1" applyFont="1" applyFill="1" applyBorder="1" applyAlignment="1">
      <alignment horizontal="center" vertical="center"/>
    </xf>
    <xf numFmtId="49" fontId="62" fillId="7" borderId="23" xfId="8" applyNumberFormat="1" applyFont="1" applyFill="1" applyBorder="1" applyAlignment="1">
      <alignment horizontal="center" vertical="center"/>
    </xf>
    <xf numFmtId="0" fontId="62" fillId="7" borderId="22" xfId="8" applyFont="1" applyFill="1" applyBorder="1" applyAlignment="1">
      <alignment horizontal="left" vertical="center" wrapText="1"/>
    </xf>
    <xf numFmtId="0" fontId="62" fillId="7" borderId="40" xfId="8" applyFont="1" applyFill="1" applyBorder="1" applyAlignment="1">
      <alignment horizontal="left" vertical="center" wrapText="1"/>
    </xf>
    <xf numFmtId="0" fontId="62" fillId="7" borderId="23" xfId="8" applyFont="1" applyFill="1" applyBorder="1" applyAlignment="1">
      <alignment horizontal="left" vertical="center" wrapText="1"/>
    </xf>
    <xf numFmtId="49" fontId="62" fillId="0" borderId="39" xfId="8" applyNumberFormat="1" applyFont="1" applyBorder="1" applyAlignment="1">
      <alignment horizontal="center" vertical="center"/>
    </xf>
    <xf numFmtId="49" fontId="62" fillId="0" borderId="23" xfId="8" applyNumberFormat="1" applyFont="1" applyBorder="1" applyAlignment="1">
      <alignment horizontal="center" vertical="center"/>
    </xf>
    <xf numFmtId="0" fontId="62" fillId="0" borderId="22" xfId="8" applyFont="1" applyBorder="1" applyAlignment="1">
      <alignment horizontal="left" vertical="center" wrapText="1"/>
    </xf>
    <xf numFmtId="0" fontId="62" fillId="0" borderId="40" xfId="8" applyFont="1" applyBorder="1" applyAlignment="1">
      <alignment horizontal="left" vertical="center" wrapText="1"/>
    </xf>
    <xf numFmtId="0" fontId="62" fillId="0" borderId="23" xfId="8" applyFont="1" applyBorder="1" applyAlignment="1">
      <alignment horizontal="left" vertical="center" wrapText="1"/>
    </xf>
    <xf numFmtId="49" fontId="62" fillId="5" borderId="29" xfId="8" applyNumberFormat="1" applyFont="1" applyFill="1" applyBorder="1" applyAlignment="1">
      <alignment horizontal="center" vertical="center"/>
    </xf>
    <xf numFmtId="49" fontId="62" fillId="5" borderId="30" xfId="8" applyNumberFormat="1" applyFont="1" applyFill="1" applyBorder="1" applyAlignment="1">
      <alignment horizontal="center" vertical="center"/>
    </xf>
    <xf numFmtId="0" fontId="62" fillId="5" borderId="31" xfId="8" applyFont="1" applyFill="1" applyBorder="1" applyAlignment="1">
      <alignment horizontal="left" vertical="center" wrapText="1" indent="2"/>
    </xf>
    <xf numFmtId="0" fontId="62" fillId="5" borderId="32" xfId="8" applyFont="1" applyFill="1" applyBorder="1" applyAlignment="1">
      <alignment horizontal="left" vertical="center" wrapText="1" indent="2"/>
    </xf>
    <xf numFmtId="0" fontId="62" fillId="5" borderId="30" xfId="8" applyFont="1" applyFill="1" applyBorder="1" applyAlignment="1">
      <alignment horizontal="left" vertical="center" wrapText="1" indent="2"/>
    </xf>
    <xf numFmtId="0" fontId="62" fillId="7" borderId="22" xfId="8" applyFont="1" applyFill="1" applyBorder="1" applyAlignment="1">
      <alignment horizontal="left" vertical="center" wrapText="1" indent="1"/>
    </xf>
    <xf numFmtId="0" fontId="62" fillId="7" borderId="40" xfId="8" applyFont="1" applyFill="1" applyBorder="1" applyAlignment="1">
      <alignment horizontal="left" vertical="center" wrapText="1" indent="1"/>
    </xf>
    <xf numFmtId="0" fontId="62" fillId="7" borderId="23" xfId="8" applyFont="1" applyFill="1" applyBorder="1" applyAlignment="1">
      <alignment horizontal="left" vertical="center" wrapText="1" indent="1"/>
    </xf>
    <xf numFmtId="0" fontId="62" fillId="5" borderId="2" xfId="8" applyFont="1" applyFill="1" applyBorder="1" applyAlignment="1">
      <alignment horizontal="left" vertical="center" wrapText="1" indent="4"/>
    </xf>
    <xf numFmtId="0" fontId="62" fillId="5" borderId="7" xfId="8" applyFont="1" applyFill="1" applyBorder="1" applyAlignment="1">
      <alignment horizontal="left" vertical="center" wrapText="1" indent="4"/>
    </xf>
    <xf numFmtId="0" fontId="62" fillId="5" borderId="8" xfId="8" applyFont="1" applyFill="1" applyBorder="1" applyAlignment="1">
      <alignment horizontal="left" vertical="center" wrapText="1" indent="4"/>
    </xf>
    <xf numFmtId="0" fontId="60" fillId="0" borderId="22" xfId="8" applyFont="1" applyBorder="1" applyAlignment="1">
      <alignment horizontal="center" vertical="center" wrapText="1"/>
    </xf>
    <xf numFmtId="0" fontId="60" fillId="0" borderId="24" xfId="8" applyFont="1" applyBorder="1" applyAlignment="1">
      <alignment horizontal="center" vertical="center" wrapText="1"/>
    </xf>
    <xf numFmtId="0" fontId="61" fillId="0" borderId="29" xfId="8" applyFont="1" applyBorder="1" applyAlignment="1">
      <alignment horizontal="center" vertical="top"/>
    </xf>
    <xf numFmtId="0" fontId="61" fillId="0" borderId="30" xfId="8" applyFont="1" applyBorder="1" applyAlignment="1">
      <alignment horizontal="center" vertical="top"/>
    </xf>
    <xf numFmtId="0" fontId="61" fillId="0" borderId="31" xfId="8" applyFont="1" applyBorder="1" applyAlignment="1">
      <alignment horizontal="center" vertical="top"/>
    </xf>
    <xf numFmtId="0" fontId="61" fillId="0" borderId="32" xfId="8" applyFont="1" applyBorder="1" applyAlignment="1">
      <alignment horizontal="center" vertical="top"/>
    </xf>
    <xf numFmtId="0" fontId="60" fillId="0" borderId="15" xfId="8" applyFont="1" applyBorder="1" applyAlignment="1">
      <alignment horizontal="center" vertical="center" wrapText="1"/>
    </xf>
    <xf numFmtId="0" fontId="60" fillId="0" borderId="16" xfId="8" applyFont="1" applyBorder="1" applyAlignment="1">
      <alignment horizontal="center" vertical="center" wrapText="1"/>
    </xf>
    <xf numFmtId="0" fontId="60" fillId="0" borderId="25" xfId="8" applyFont="1" applyBorder="1" applyAlignment="1">
      <alignment horizontal="center" vertical="center" wrapText="1"/>
    </xf>
    <xf numFmtId="0" fontId="60" fillId="0" borderId="11" xfId="8" applyFont="1" applyBorder="1" applyAlignment="1">
      <alignment horizontal="center" vertical="center" wrapText="1"/>
    </xf>
    <xf numFmtId="0" fontId="60" fillId="0" borderId="17" xfId="8" applyFont="1" applyBorder="1" applyAlignment="1">
      <alignment horizontal="center" vertical="center" wrapText="1"/>
    </xf>
    <xf numFmtId="0" fontId="60" fillId="0" borderId="18" xfId="8" applyFont="1" applyBorder="1" applyAlignment="1">
      <alignment horizontal="center" vertical="center" wrapText="1"/>
    </xf>
    <xf numFmtId="0" fontId="60" fillId="0" borderId="9" xfId="8" applyFont="1" applyBorder="1" applyAlignment="1">
      <alignment horizontal="center" vertical="center" wrapText="1"/>
    </xf>
    <xf numFmtId="0" fontId="60" fillId="0" borderId="10" xfId="8" applyFont="1" applyBorder="1" applyAlignment="1">
      <alignment horizontal="center" vertical="center" wrapText="1"/>
    </xf>
    <xf numFmtId="0" fontId="60" fillId="0" borderId="19" xfId="8" applyFont="1" applyBorder="1" applyAlignment="1">
      <alignment horizontal="center" vertical="center" wrapText="1"/>
    </xf>
    <xf numFmtId="0" fontId="60" fillId="0" borderId="26" xfId="8" applyFont="1" applyBorder="1" applyAlignment="1">
      <alignment horizontal="center" vertical="center" wrapText="1"/>
    </xf>
    <xf numFmtId="0" fontId="60" fillId="0" borderId="23" xfId="8" applyFont="1" applyBorder="1" applyAlignment="1">
      <alignment horizontal="center" vertical="center" wrapText="1"/>
    </xf>
    <xf numFmtId="49" fontId="55" fillId="0" borderId="10" xfId="8" applyNumberFormat="1" applyFont="1" applyBorder="1" applyAlignment="1">
      <alignment horizontal="center"/>
    </xf>
    <xf numFmtId="0" fontId="58" fillId="0" borderId="5" xfId="8" applyFont="1" applyBorder="1" applyAlignment="1">
      <alignment horizontal="center" vertical="top"/>
    </xf>
    <xf numFmtId="49" fontId="55" fillId="0" borderId="0" xfId="8" applyNumberFormat="1" applyFont="1" applyBorder="1" applyAlignment="1">
      <alignment horizontal="left"/>
    </xf>
    <xf numFmtId="0" fontId="58" fillId="0" borderId="0" xfId="8" applyFont="1" applyBorder="1" applyAlignment="1">
      <alignment horizontal="center" vertical="top"/>
    </xf>
    <xf numFmtId="0" fontId="59" fillId="0" borderId="14" xfId="8" applyFont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/>
    </xf>
  </cellXfs>
  <cellStyles count="10">
    <cellStyle name="Обычный" xfId="0" builtinId="0"/>
    <cellStyle name="Обычный 2" xfId="8"/>
    <cellStyle name="Обычный 3" xfId="2"/>
    <cellStyle name="Обычный 4" xfId="4"/>
    <cellStyle name="Обычный 5" xfId="6"/>
    <cellStyle name="Обычный 6" xfId="7"/>
    <cellStyle name="Обычный 6 2 3" xfId="3"/>
    <cellStyle name="Обычный 7" xfId="1"/>
    <cellStyle name="Обычный 8" xfId="9"/>
    <cellStyle name="Обычный_Форматы по компаниям_last" xfId="5"/>
  </cellStyles>
  <dxfs count="0"/>
  <tableStyles count="0" defaultTableStyle="TableStyleMedium2" defaultPivotStyle="PivotStyleLight16"/>
  <colors>
    <mruColors>
      <color rgb="FFFFCCCC"/>
      <color rgb="FF99CCFF"/>
      <color rgb="FFFFFFCC"/>
      <color rgb="FFCCFFCC"/>
      <color rgb="FFFF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D4:D10" totalsRowShown="0">
  <autoFilter ref="D4:D10"/>
  <tableColumns count="1">
    <tableColumn id="1" name="Задач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0"/>
  <sheetViews>
    <sheetView topLeftCell="A19" zoomScale="71" zoomScaleNormal="71" workbookViewId="0">
      <selection activeCell="B49" sqref="B49"/>
    </sheetView>
  </sheetViews>
  <sheetFormatPr defaultColWidth="8.85546875" defaultRowHeight="15.75" outlineLevelRow="1" x14ac:dyDescent="0.25"/>
  <cols>
    <col min="1" max="1" width="10" style="15" customWidth="1"/>
    <col min="2" max="2" width="75.42578125" style="15" customWidth="1"/>
    <col min="3" max="3" width="14.42578125" customWidth="1"/>
    <col min="4" max="19" width="9.28515625" customWidth="1"/>
  </cols>
  <sheetData>
    <row r="1" spans="1:19" ht="18.75" x14ac:dyDescent="0.2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19" ht="18.75" x14ac:dyDescent="0.3">
      <c r="A2" s="605" t="s">
        <v>742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19" x14ac:dyDescent="0.2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603" t="s">
        <v>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</row>
    <row r="5" spans="1:19" x14ac:dyDescent="0.25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</row>
    <row r="6" spans="1:19" x14ac:dyDescent="0.2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603" t="s">
        <v>743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</row>
    <row r="8" spans="1:19" ht="18.75" x14ac:dyDescent="0.2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600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</row>
    <row r="10" spans="1:19" ht="15.75" customHeight="1" x14ac:dyDescent="0.25">
      <c r="A10" s="601" t="s">
        <v>226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</row>
    <row r="11" spans="1:19" ht="15.75" customHeight="1" x14ac:dyDescent="0.3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</row>
    <row r="12" spans="1:19" ht="31.5" customHeight="1" x14ac:dyDescent="0.25">
      <c r="A12" s="602" t="s">
        <v>4</v>
      </c>
      <c r="B12" s="602" t="s">
        <v>5</v>
      </c>
      <c r="C12" s="602" t="s">
        <v>6</v>
      </c>
      <c r="D12" s="602" t="s">
        <v>7</v>
      </c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</row>
    <row r="13" spans="1:19" ht="87" customHeight="1" x14ac:dyDescent="0.25">
      <c r="A13" s="602"/>
      <c r="B13" s="602"/>
      <c r="C13" s="602"/>
      <c r="D13" s="602" t="s">
        <v>8</v>
      </c>
      <c r="E13" s="602"/>
      <c r="F13" s="602"/>
      <c r="G13" s="602"/>
      <c r="H13" s="602"/>
      <c r="I13" s="602"/>
      <c r="J13" s="602" t="s">
        <v>9</v>
      </c>
      <c r="K13" s="602"/>
      <c r="L13" s="602"/>
      <c r="M13" s="602"/>
      <c r="N13" s="602"/>
      <c r="O13" s="602"/>
      <c r="P13" s="602" t="s">
        <v>10</v>
      </c>
      <c r="Q13" s="602"/>
      <c r="R13" s="602"/>
      <c r="S13" s="602"/>
    </row>
    <row r="14" spans="1:19" ht="179.25" customHeight="1" x14ac:dyDescent="0.25">
      <c r="A14" s="602"/>
      <c r="B14" s="602"/>
      <c r="C14" s="602"/>
      <c r="D14" s="602" t="s">
        <v>11</v>
      </c>
      <c r="E14" s="602"/>
      <c r="F14" s="602" t="s">
        <v>12</v>
      </c>
      <c r="G14" s="602"/>
      <c r="H14" s="602" t="s">
        <v>13</v>
      </c>
      <c r="I14" s="602"/>
      <c r="J14" s="602" t="s">
        <v>14</v>
      </c>
      <c r="K14" s="602"/>
      <c r="L14" s="602" t="s">
        <v>15</v>
      </c>
      <c r="M14" s="602"/>
      <c r="N14" s="602" t="s">
        <v>16</v>
      </c>
      <c r="O14" s="602"/>
      <c r="P14" s="602" t="s">
        <v>17</v>
      </c>
      <c r="Q14" s="602"/>
      <c r="R14" s="602" t="s">
        <v>18</v>
      </c>
      <c r="S14" s="602"/>
    </row>
    <row r="15" spans="1:19" ht="87.75" x14ac:dyDescent="0.25">
      <c r="A15" s="602"/>
      <c r="B15" s="602"/>
      <c r="C15" s="602"/>
      <c r="D15" s="5" t="s">
        <v>526</v>
      </c>
      <c r="E15" s="5" t="s">
        <v>136</v>
      </c>
      <c r="F15" s="5" t="s">
        <v>526</v>
      </c>
      <c r="G15" s="5" t="s">
        <v>136</v>
      </c>
      <c r="H15" s="5" t="s">
        <v>526</v>
      </c>
      <c r="I15" s="5" t="s">
        <v>136</v>
      </c>
      <c r="J15" s="5" t="s">
        <v>526</v>
      </c>
      <c r="K15" s="5" t="s">
        <v>136</v>
      </c>
      <c r="L15" s="5" t="s">
        <v>526</v>
      </c>
      <c r="M15" s="5" t="s">
        <v>136</v>
      </c>
      <c r="N15" s="5" t="s">
        <v>526</v>
      </c>
      <c r="O15" s="5" t="s">
        <v>136</v>
      </c>
      <c r="P15" s="5" t="s">
        <v>526</v>
      </c>
      <c r="Q15" s="5" t="s">
        <v>136</v>
      </c>
      <c r="R15" s="5" t="s">
        <v>526</v>
      </c>
      <c r="S15" s="5" t="s">
        <v>136</v>
      </c>
    </row>
    <row r="16" spans="1:19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8" t="s">
        <v>29</v>
      </c>
      <c r="Q16" s="8" t="s">
        <v>30</v>
      </c>
      <c r="R16" s="8" t="s">
        <v>31</v>
      </c>
      <c r="S16" s="8" t="s">
        <v>32</v>
      </c>
    </row>
    <row r="17" spans="1:19" s="28" customFormat="1" x14ac:dyDescent="0.25">
      <c r="A17" s="20" t="s">
        <v>33</v>
      </c>
      <c r="B17" s="21" t="s">
        <v>34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81</v>
      </c>
      <c r="B18" s="19" t="s">
        <v>36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37</v>
      </c>
      <c r="B19" s="21" t="s">
        <v>38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82</v>
      </c>
      <c r="B20" s="30" t="s">
        <v>83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84</v>
      </c>
      <c r="B21" s="19" t="s">
        <v>85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86</v>
      </c>
      <c r="B22" s="19" t="s">
        <v>87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88</v>
      </c>
      <c r="B23" s="19" t="s">
        <v>89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90</v>
      </c>
      <c r="B24" s="30" t="s">
        <v>91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92</v>
      </c>
      <c r="B25" s="19" t="s">
        <v>93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94</v>
      </c>
      <c r="B26" s="19" t="s">
        <v>95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96</v>
      </c>
      <c r="B27" s="30" t="s">
        <v>97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98</v>
      </c>
      <c r="B28" s="19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103</v>
      </c>
      <c r="B29" s="19" t="s">
        <v>100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105</v>
      </c>
      <c r="B30" s="19" t="s">
        <v>101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106</v>
      </c>
      <c r="B31" s="19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107</v>
      </c>
      <c r="B32" s="19" t="s">
        <v>99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108</v>
      </c>
      <c r="B33" s="19" t="s">
        <v>100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109</v>
      </c>
      <c r="B34" s="19" t="s">
        <v>101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110</v>
      </c>
      <c r="B35" s="19" t="s">
        <v>104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39</v>
      </c>
      <c r="B36" s="34" t="s">
        <v>40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49" customFormat="1" x14ac:dyDescent="0.25">
      <c r="A37" s="14"/>
      <c r="B37" s="16"/>
      <c r="C37" s="348"/>
      <c r="D37" s="348"/>
      <c r="E37" s="348"/>
      <c r="F37" s="348"/>
      <c r="G37" s="348"/>
      <c r="H37" s="348"/>
      <c r="I37" s="348">
        <v>0</v>
      </c>
      <c r="J37" s="348">
        <v>0</v>
      </c>
      <c r="K37" s="348">
        <v>0</v>
      </c>
      <c r="L37" s="348">
        <v>0</v>
      </c>
      <c r="M37" s="348">
        <v>0</v>
      </c>
      <c r="N37" s="348">
        <v>0</v>
      </c>
      <c r="O37" s="348">
        <v>0</v>
      </c>
      <c r="P37" s="348">
        <v>0</v>
      </c>
      <c r="Q37" s="348">
        <v>0</v>
      </c>
      <c r="R37" s="348">
        <v>0</v>
      </c>
      <c r="S37" s="348">
        <v>0</v>
      </c>
    </row>
    <row r="38" spans="1:19" s="31" customFormat="1" ht="47.25" hidden="1" x14ac:dyDescent="0.25">
      <c r="A38" s="29" t="s">
        <v>111</v>
      </c>
      <c r="B38" s="30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42</v>
      </c>
      <c r="B39" s="21" t="s">
        <v>43</v>
      </c>
      <c r="C39" s="36">
        <v>0</v>
      </c>
      <c r="D39" s="36">
        <f t="shared" ref="D39:S39" si="4">D40+D45+D48</f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79</v>
      </c>
      <c r="B40" s="34" t="s">
        <v>80</v>
      </c>
      <c r="C40" s="39" t="str">
        <f>C41</f>
        <v>L_010</v>
      </c>
      <c r="D40" s="39">
        <f t="shared" ref="D40:S40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44</v>
      </c>
      <c r="B41" s="16" t="s">
        <v>45</v>
      </c>
      <c r="C41" s="40" t="str">
        <f>C42</f>
        <v>L_010</v>
      </c>
      <c r="D41" s="40">
        <f t="shared" ref="D41:S41" si="6">D42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0">
        <f t="shared" si="6"/>
        <v>0</v>
      </c>
      <c r="P41" s="40">
        <f t="shared" si="6"/>
        <v>0</v>
      </c>
      <c r="Q41" s="40">
        <f t="shared" si="6"/>
        <v>0</v>
      </c>
      <c r="R41" s="40">
        <f t="shared" si="6"/>
        <v>0</v>
      </c>
      <c r="S41" s="40">
        <f t="shared" si="6"/>
        <v>0</v>
      </c>
    </row>
    <row r="42" spans="1:19" s="345" customFormat="1" x14ac:dyDescent="0.25">
      <c r="A42" s="388" t="s">
        <v>46</v>
      </c>
      <c r="B42" s="417" t="s">
        <v>735</v>
      </c>
      <c r="C42" s="390" t="s">
        <v>721</v>
      </c>
      <c r="D42" s="438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0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8">
        <v>0</v>
      </c>
    </row>
    <row r="43" spans="1:19" s="345" customFormat="1" x14ac:dyDescent="0.25">
      <c r="A43" s="14"/>
      <c r="B43" s="347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</row>
    <row r="44" spans="1:19" ht="31.5" x14ac:dyDescent="0.25">
      <c r="A44" s="14" t="s">
        <v>112</v>
      </c>
      <c r="B44" s="16" t="s">
        <v>113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47</v>
      </c>
      <c r="B45" s="34" t="s">
        <v>48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/>
      <c r="B46" s="1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31.5" hidden="1" x14ac:dyDescent="0.25">
      <c r="A47" s="14" t="s">
        <v>114</v>
      </c>
      <c r="B47" s="16" t="s">
        <v>115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s="35" customFormat="1" ht="31.5" x14ac:dyDescent="0.25">
      <c r="A48" s="33" t="s">
        <v>116</v>
      </c>
      <c r="B48" s="34" t="s">
        <v>117</v>
      </c>
      <c r="C48" s="39">
        <f t="shared" ref="C48:S48" si="8">C54+C56</f>
        <v>0</v>
      </c>
      <c r="D48" s="39">
        <f t="shared" si="8"/>
        <v>0</v>
      </c>
      <c r="E48" s="39">
        <f t="shared" si="8"/>
        <v>0</v>
      </c>
      <c r="F48" s="39">
        <f t="shared" si="8"/>
        <v>0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0</v>
      </c>
      <c r="N48" s="39">
        <f t="shared" si="8"/>
        <v>0</v>
      </c>
      <c r="O48" s="39">
        <f t="shared" si="8"/>
        <v>0</v>
      </c>
      <c r="P48" s="39">
        <f t="shared" si="8"/>
        <v>0</v>
      </c>
      <c r="Q48" s="39">
        <f t="shared" si="8"/>
        <v>0</v>
      </c>
      <c r="R48" s="39">
        <f t="shared" si="8"/>
        <v>0</v>
      </c>
      <c r="S48" s="39">
        <f t="shared" si="8"/>
        <v>0</v>
      </c>
    </row>
    <row r="49" spans="1:19" ht="31.5" outlineLevel="1" x14ac:dyDescent="0.25">
      <c r="A49" s="14" t="s">
        <v>118</v>
      </c>
      <c r="B49" s="16" t="s">
        <v>119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outlineLevel="1" x14ac:dyDescent="0.25">
      <c r="A50" s="388" t="s">
        <v>701</v>
      </c>
      <c r="B50" s="421" t="s">
        <v>706</v>
      </c>
      <c r="C50" s="390" t="s">
        <v>728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</row>
    <row r="51" spans="1:19" ht="31.5" outlineLevel="1" x14ac:dyDescent="0.25">
      <c r="A51" s="14" t="s">
        <v>120</v>
      </c>
      <c r="B51" s="16" t="s">
        <v>49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outlineLevel="1" x14ac:dyDescent="0.25">
      <c r="A52" s="14" t="s">
        <v>50</v>
      </c>
      <c r="B52" s="16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31.5" outlineLevel="1" x14ac:dyDescent="0.25">
      <c r="A53" s="14" t="s">
        <v>52</v>
      </c>
      <c r="B53" s="16" t="s">
        <v>53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x14ac:dyDescent="0.25">
      <c r="A54" s="14" t="s">
        <v>54</v>
      </c>
      <c r="B54" s="16" t="s">
        <v>55</v>
      </c>
      <c r="C54" s="40">
        <f t="shared" ref="C54:S54" si="9">C55</f>
        <v>0</v>
      </c>
      <c r="D54" s="40">
        <f t="shared" si="9"/>
        <v>0</v>
      </c>
      <c r="E54" s="40">
        <f t="shared" si="9"/>
        <v>0</v>
      </c>
      <c r="F54" s="40">
        <f t="shared" si="9"/>
        <v>0</v>
      </c>
      <c r="G54" s="40">
        <f t="shared" si="9"/>
        <v>0</v>
      </c>
      <c r="H54" s="40">
        <f t="shared" si="9"/>
        <v>0</v>
      </c>
      <c r="I54" s="40">
        <f t="shared" si="9"/>
        <v>0</v>
      </c>
      <c r="J54" s="40">
        <f t="shared" si="9"/>
        <v>0</v>
      </c>
      <c r="K54" s="40">
        <f t="shared" si="9"/>
        <v>0</v>
      </c>
      <c r="L54" s="40">
        <f t="shared" si="9"/>
        <v>0</v>
      </c>
      <c r="M54" s="40">
        <f t="shared" si="9"/>
        <v>0</v>
      </c>
      <c r="N54" s="40">
        <f t="shared" si="9"/>
        <v>0</v>
      </c>
      <c r="O54" s="40">
        <f t="shared" si="9"/>
        <v>0</v>
      </c>
      <c r="P54" s="40">
        <f t="shared" si="9"/>
        <v>0</v>
      </c>
      <c r="Q54" s="40">
        <f t="shared" si="9"/>
        <v>0</v>
      </c>
      <c r="R54" s="40">
        <f t="shared" si="9"/>
        <v>0</v>
      </c>
      <c r="S54" s="40">
        <f t="shared" si="9"/>
        <v>0</v>
      </c>
    </row>
    <row r="55" spans="1:19" s="345" customFormat="1" x14ac:dyDescent="0.25">
      <c r="A55" s="14"/>
      <c r="B55" s="16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</row>
    <row r="56" spans="1:19" ht="31.5" hidden="1" outlineLevel="1" x14ac:dyDescent="0.25">
      <c r="A56" s="14" t="s">
        <v>56</v>
      </c>
      <c r="B56" s="16" t="s">
        <v>57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31.5" hidden="1" outlineLevel="1" x14ac:dyDescent="0.25">
      <c r="A57" s="14" t="s">
        <v>58</v>
      </c>
      <c r="B57" s="16" t="s">
        <v>59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31.5" hidden="1" outlineLevel="1" x14ac:dyDescent="0.25">
      <c r="A58" s="14" t="s">
        <v>60</v>
      </c>
      <c r="B58" s="16" t="s">
        <v>61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s="25" customFormat="1" ht="31.5" hidden="1" outlineLevel="1" x14ac:dyDescent="0.25">
      <c r="A59" s="22" t="s">
        <v>62</v>
      </c>
      <c r="B59" s="23" t="s">
        <v>63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idden="1" outlineLevel="1" x14ac:dyDescent="0.25">
      <c r="A60" s="14" t="s">
        <v>64</v>
      </c>
      <c r="B60" s="16" t="s">
        <v>65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31.5" hidden="1" outlineLevel="1" x14ac:dyDescent="0.25">
      <c r="A61" s="14" t="s">
        <v>66</v>
      </c>
      <c r="B61" s="16" t="s">
        <v>67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28" customFormat="1" ht="47.25" hidden="1" outlineLevel="1" collapsed="1" x14ac:dyDescent="0.25">
      <c r="A62" s="20" t="s">
        <v>68</v>
      </c>
      <c r="B62" s="32" t="s">
        <v>69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25" customFormat="1" ht="31.5" hidden="1" outlineLevel="1" x14ac:dyDescent="0.25">
      <c r="A63" s="22" t="s">
        <v>70</v>
      </c>
      <c r="B63" s="23" t="s">
        <v>71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5" customFormat="1" ht="31.5" hidden="1" outlineLevel="1" x14ac:dyDescent="0.25">
      <c r="A64" s="22" t="s">
        <v>72</v>
      </c>
      <c r="B64" s="23" t="s">
        <v>73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8" customFormat="1" collapsed="1" x14ac:dyDescent="0.25">
      <c r="A65" s="20" t="s">
        <v>528</v>
      </c>
      <c r="B65" s="32" t="s">
        <v>529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344" customFormat="1" x14ac:dyDescent="0.25">
      <c r="A66" s="341"/>
      <c r="B66" s="342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</row>
    <row r="70" spans="1:19" s="1" customFormat="1" x14ac:dyDescent="0.2">
      <c r="B70" s="181" t="s">
        <v>77</v>
      </c>
      <c r="C70" s="13"/>
      <c r="D70" s="13"/>
      <c r="E70" s="13" t="s">
        <v>668</v>
      </c>
    </row>
  </sheetData>
  <mergeCells count="23">
    <mergeCell ref="P14:Q14"/>
    <mergeCell ref="R14:S14"/>
    <mergeCell ref="A4:S4"/>
    <mergeCell ref="A7:S7"/>
    <mergeCell ref="A1:S1"/>
    <mergeCell ref="A2:S2"/>
    <mergeCell ref="A5:S5"/>
    <mergeCell ref="A9:S9"/>
    <mergeCell ref="A10:S10"/>
    <mergeCell ref="A11:S11"/>
    <mergeCell ref="A12:A15"/>
    <mergeCell ref="B12:B15"/>
    <mergeCell ref="C12:C15"/>
    <mergeCell ref="D12:S12"/>
    <mergeCell ref="D13:I13"/>
    <mergeCell ref="J13:O13"/>
    <mergeCell ref="P13:S13"/>
    <mergeCell ref="D14:E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paperSize="8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6"/>
  <sheetViews>
    <sheetView topLeftCell="A10" zoomScale="65" zoomScaleNormal="65" workbookViewId="0">
      <selection activeCell="A9" sqref="A9:AN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50" bestFit="1" customWidth="1"/>
    <col min="6" max="6" width="6.7109375" style="50" bestFit="1" customWidth="1"/>
    <col min="7" max="9" width="6.7109375" bestFit="1" customWidth="1"/>
    <col min="10" max="10" width="6.7109375" style="55" bestFit="1" customWidth="1"/>
    <col min="11" max="11" width="18.85546875" customWidth="1"/>
    <col min="12" max="12" width="7.42578125" bestFit="1" customWidth="1"/>
    <col min="13" max="13" width="6.7109375" style="55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9.28515625" customWidth="1"/>
    <col min="27" max="28" width="6.7109375" bestFit="1" customWidth="1"/>
    <col min="29" max="30" width="8.42578125" customWidth="1"/>
    <col min="31" max="31" width="6.7109375" customWidth="1"/>
    <col min="32" max="32" width="6.7109375" bestFit="1" customWidth="1"/>
    <col min="33" max="33" width="19" customWidth="1"/>
    <col min="34" max="34" width="9.5703125" customWidth="1"/>
    <col min="35" max="39" width="8.28515625" customWidth="1"/>
    <col min="40" max="40" width="6.7109375" bestFit="1" customWidth="1"/>
  </cols>
  <sheetData>
    <row r="1" spans="1:40" s="41" customFormat="1" ht="18.75" x14ac:dyDescent="0.3">
      <c r="A1" s="647" t="s">
        <v>313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</row>
    <row r="2" spans="1:40" s="41" customFormat="1" ht="18.75" x14ac:dyDescent="0.3">
      <c r="A2" s="605" t="s">
        <v>769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</row>
    <row r="3" spans="1:40" s="41" customFormat="1" x14ac:dyDescent="0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</row>
    <row r="4" spans="1:40" s="41" customFormat="1" ht="18.75" x14ac:dyDescent="0.25">
      <c r="A4" s="603" t="s">
        <v>123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</row>
    <row r="5" spans="1:40" s="41" customFormat="1" x14ac:dyDescent="0.25">
      <c r="A5" s="606" t="s">
        <v>124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</row>
    <row r="6" spans="1:40" s="41" customFormat="1" x14ac:dyDescent="0.25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</row>
    <row r="7" spans="1:40" s="41" customFormat="1" x14ac:dyDescent="0.25">
      <c r="A7" s="601" t="s">
        <v>768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</row>
    <row r="8" spans="1:40" s="41" customFormat="1" ht="18.75" x14ac:dyDescent="0.3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</row>
    <row r="9" spans="1:40" s="41" customFormat="1" ht="18.75" x14ac:dyDescent="0.25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</row>
    <row r="10" spans="1:40" s="41" customFormat="1" x14ac:dyDescent="0.25">
      <c r="A10" s="642" t="s">
        <v>226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</row>
    <row r="11" spans="1:40" s="41" customFormat="1" x14ac:dyDescent="0.25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</row>
    <row r="12" spans="1:40" s="41" customFormat="1" x14ac:dyDescent="0.25">
      <c r="A12" s="644" t="s">
        <v>4</v>
      </c>
      <c r="B12" s="644" t="s">
        <v>5</v>
      </c>
      <c r="C12" s="644" t="s">
        <v>6</v>
      </c>
      <c r="D12" s="645" t="s">
        <v>314</v>
      </c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</row>
    <row r="13" spans="1:40" s="41" customFormat="1" x14ac:dyDescent="0.25">
      <c r="A13" s="644"/>
      <c r="B13" s="644"/>
      <c r="C13" s="644"/>
      <c r="D13" s="645" t="s">
        <v>315</v>
      </c>
      <c r="E13" s="645"/>
      <c r="F13" s="645"/>
      <c r="G13" s="645"/>
      <c r="H13" s="645"/>
      <c r="I13" s="645"/>
      <c r="J13" s="645"/>
      <c r="K13" s="645" t="s">
        <v>316</v>
      </c>
      <c r="L13" s="645"/>
      <c r="M13" s="645"/>
      <c r="N13" s="645"/>
      <c r="O13" s="645"/>
      <c r="P13" s="645"/>
      <c r="Q13" s="645"/>
      <c r="R13" s="645" t="s">
        <v>317</v>
      </c>
      <c r="S13" s="645"/>
      <c r="T13" s="645"/>
      <c r="U13" s="645"/>
      <c r="V13" s="645"/>
      <c r="W13" s="645"/>
      <c r="X13" s="645"/>
      <c r="Y13" s="645" t="s">
        <v>318</v>
      </c>
      <c r="Z13" s="645"/>
      <c r="AA13" s="645"/>
      <c r="AB13" s="645"/>
      <c r="AC13" s="645"/>
      <c r="AD13" s="645"/>
      <c r="AE13" s="645"/>
      <c r="AF13" s="645"/>
      <c r="AG13" s="644" t="s">
        <v>319</v>
      </c>
      <c r="AH13" s="644"/>
      <c r="AI13" s="644"/>
      <c r="AJ13" s="644"/>
      <c r="AK13" s="644"/>
      <c r="AL13" s="644"/>
      <c r="AM13" s="644"/>
      <c r="AN13" s="644"/>
    </row>
    <row r="14" spans="1:40" s="41" customFormat="1" ht="31.5" x14ac:dyDescent="0.25">
      <c r="A14" s="644"/>
      <c r="B14" s="644"/>
      <c r="C14" s="644"/>
      <c r="D14" s="431" t="s">
        <v>234</v>
      </c>
      <c r="E14" s="645" t="s">
        <v>235</v>
      </c>
      <c r="F14" s="645"/>
      <c r="G14" s="645"/>
      <c r="H14" s="645"/>
      <c r="I14" s="645"/>
      <c r="J14" s="645"/>
      <c r="K14" s="431" t="s">
        <v>234</v>
      </c>
      <c r="L14" s="644" t="s">
        <v>235</v>
      </c>
      <c r="M14" s="644"/>
      <c r="N14" s="644"/>
      <c r="O14" s="644"/>
      <c r="P14" s="644"/>
      <c r="Q14" s="644"/>
      <c r="R14" s="431" t="s">
        <v>234</v>
      </c>
      <c r="S14" s="644" t="s">
        <v>235</v>
      </c>
      <c r="T14" s="644"/>
      <c r="U14" s="644"/>
      <c r="V14" s="644"/>
      <c r="W14" s="644"/>
      <c r="X14" s="644"/>
      <c r="Y14" s="431" t="s">
        <v>234</v>
      </c>
      <c r="Z14" s="644" t="s">
        <v>235</v>
      </c>
      <c r="AA14" s="644"/>
      <c r="AB14" s="644"/>
      <c r="AC14" s="644"/>
      <c r="AD14" s="644"/>
      <c r="AE14" s="644"/>
      <c r="AF14" s="644"/>
      <c r="AG14" s="431" t="s">
        <v>234</v>
      </c>
      <c r="AH14" s="644" t="s">
        <v>235</v>
      </c>
      <c r="AI14" s="644"/>
      <c r="AJ14" s="644"/>
      <c r="AK14" s="644"/>
      <c r="AL14" s="644"/>
      <c r="AM14" s="644"/>
      <c r="AN14" s="644"/>
    </row>
    <row r="15" spans="1:40" s="41" customFormat="1" ht="66" x14ac:dyDescent="0.25">
      <c r="A15" s="644"/>
      <c r="B15" s="644"/>
      <c r="C15" s="644"/>
      <c r="D15" s="428" t="s">
        <v>236</v>
      </c>
      <c r="E15" s="428" t="s">
        <v>236</v>
      </c>
      <c r="F15" s="429" t="s">
        <v>237</v>
      </c>
      <c r="G15" s="429" t="s">
        <v>238</v>
      </c>
      <c r="H15" s="429" t="s">
        <v>239</v>
      </c>
      <c r="I15" s="429" t="s">
        <v>240</v>
      </c>
      <c r="J15" s="429" t="s">
        <v>241</v>
      </c>
      <c r="K15" s="428" t="s">
        <v>236</v>
      </c>
      <c r="L15" s="428" t="s">
        <v>236</v>
      </c>
      <c r="M15" s="429" t="s">
        <v>237</v>
      </c>
      <c r="N15" s="429" t="s">
        <v>238</v>
      </c>
      <c r="O15" s="429" t="s">
        <v>239</v>
      </c>
      <c r="P15" s="429" t="s">
        <v>240</v>
      </c>
      <c r="Q15" s="429" t="s">
        <v>241</v>
      </c>
      <c r="R15" s="428" t="s">
        <v>236</v>
      </c>
      <c r="S15" s="428" t="s">
        <v>236</v>
      </c>
      <c r="T15" s="429" t="s">
        <v>237</v>
      </c>
      <c r="U15" s="429" t="s">
        <v>238</v>
      </c>
      <c r="V15" s="429" t="s">
        <v>239</v>
      </c>
      <c r="W15" s="429" t="s">
        <v>240</v>
      </c>
      <c r="X15" s="429" t="s">
        <v>241</v>
      </c>
      <c r="Y15" s="428" t="s">
        <v>236</v>
      </c>
      <c r="Z15" s="428" t="s">
        <v>236</v>
      </c>
      <c r="AA15" s="429" t="s">
        <v>237</v>
      </c>
      <c r="AB15" s="429" t="s">
        <v>238</v>
      </c>
      <c r="AC15" s="429" t="s">
        <v>239</v>
      </c>
      <c r="AD15" s="429" t="s">
        <v>240</v>
      </c>
      <c r="AE15" s="429" t="s">
        <v>572</v>
      </c>
      <c r="AF15" s="429" t="s">
        <v>573</v>
      </c>
      <c r="AG15" s="428" t="s">
        <v>236</v>
      </c>
      <c r="AH15" s="428" t="s">
        <v>236</v>
      </c>
      <c r="AI15" s="429" t="s">
        <v>237</v>
      </c>
      <c r="AJ15" s="429" t="s">
        <v>238</v>
      </c>
      <c r="AK15" s="429" t="s">
        <v>239</v>
      </c>
      <c r="AL15" s="429" t="s">
        <v>240</v>
      </c>
      <c r="AM15" s="429" t="s">
        <v>572</v>
      </c>
      <c r="AN15" s="429" t="s">
        <v>573</v>
      </c>
    </row>
    <row r="16" spans="1:40" s="41" customFormat="1" x14ac:dyDescent="0.25">
      <c r="A16" s="430">
        <v>1</v>
      </c>
      <c r="B16" s="430">
        <v>2</v>
      </c>
      <c r="C16" s="430">
        <v>3</v>
      </c>
      <c r="D16" s="178" t="s">
        <v>320</v>
      </c>
      <c r="E16" s="178" t="s">
        <v>321</v>
      </c>
      <c r="F16" s="178" t="s">
        <v>322</v>
      </c>
      <c r="G16" s="178" t="s">
        <v>323</v>
      </c>
      <c r="H16" s="178" t="s">
        <v>324</v>
      </c>
      <c r="I16" s="178" t="s">
        <v>325</v>
      </c>
      <c r="J16" s="178" t="s">
        <v>326</v>
      </c>
      <c r="K16" s="178" t="s">
        <v>327</v>
      </c>
      <c r="L16" s="178" t="s">
        <v>328</v>
      </c>
      <c r="M16" s="178" t="s">
        <v>329</v>
      </c>
      <c r="N16" s="178" t="s">
        <v>330</v>
      </c>
      <c r="O16" s="178" t="s">
        <v>331</v>
      </c>
      <c r="P16" s="178" t="s">
        <v>332</v>
      </c>
      <c r="Q16" s="178" t="s">
        <v>333</v>
      </c>
      <c r="R16" s="178" t="s">
        <v>334</v>
      </c>
      <c r="S16" s="178" t="s">
        <v>335</v>
      </c>
      <c r="T16" s="178" t="s">
        <v>336</v>
      </c>
      <c r="U16" s="178" t="s">
        <v>337</v>
      </c>
      <c r="V16" s="178" t="s">
        <v>338</v>
      </c>
      <c r="W16" s="178" t="s">
        <v>339</v>
      </c>
      <c r="X16" s="178" t="s">
        <v>340</v>
      </c>
      <c r="Y16" s="178" t="s">
        <v>341</v>
      </c>
      <c r="Z16" s="178" t="s">
        <v>342</v>
      </c>
      <c r="AA16" s="178" t="s">
        <v>343</v>
      </c>
      <c r="AB16" s="178" t="s">
        <v>344</v>
      </c>
      <c r="AC16" s="178" t="s">
        <v>345</v>
      </c>
      <c r="AD16" s="178" t="s">
        <v>346</v>
      </c>
      <c r="AE16" s="178"/>
      <c r="AF16" s="178" t="s">
        <v>347</v>
      </c>
      <c r="AG16" s="178" t="s">
        <v>348</v>
      </c>
      <c r="AH16" s="178" t="s">
        <v>349</v>
      </c>
      <c r="AI16" s="178" t="s">
        <v>350</v>
      </c>
      <c r="AJ16" s="178" t="s">
        <v>351</v>
      </c>
      <c r="AK16" s="178" t="s">
        <v>312</v>
      </c>
      <c r="AL16" s="178" t="s">
        <v>352</v>
      </c>
      <c r="AM16" s="178"/>
      <c r="AN16" s="178" t="s">
        <v>353</v>
      </c>
    </row>
    <row r="17" spans="1:40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0</v>
      </c>
      <c r="E17" s="184">
        <f t="shared" ref="E17:Z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  <c r="L17" s="184">
        <f t="shared" si="0"/>
        <v>0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184">
        <f t="shared" si="0"/>
        <v>0</v>
      </c>
      <c r="Q17" s="184">
        <f t="shared" si="0"/>
        <v>0</v>
      </c>
      <c r="R17" s="184">
        <f t="shared" si="0"/>
        <v>0</v>
      </c>
      <c r="S17" s="184">
        <f t="shared" si="0"/>
        <v>0</v>
      </c>
      <c r="T17" s="184">
        <f t="shared" si="0"/>
        <v>0</v>
      </c>
      <c r="U17" s="184">
        <f t="shared" si="0"/>
        <v>0</v>
      </c>
      <c r="V17" s="184">
        <f t="shared" si="0"/>
        <v>0</v>
      </c>
      <c r="W17" s="184">
        <f t="shared" si="0"/>
        <v>0</v>
      </c>
      <c r="X17" s="184">
        <f t="shared" si="0"/>
        <v>0</v>
      </c>
      <c r="Y17" s="184">
        <f t="shared" si="0"/>
        <v>0</v>
      </c>
      <c r="Z17" s="184">
        <f t="shared" si="0"/>
        <v>12.836795200860001</v>
      </c>
      <c r="AA17" s="184">
        <f t="shared" ref="AA17" si="1">AA18</f>
        <v>0</v>
      </c>
      <c r="AB17" s="184">
        <f t="shared" ref="AB17" si="2">AB18</f>
        <v>0</v>
      </c>
      <c r="AC17" s="184">
        <f t="shared" ref="AC17" si="3">AC18</f>
        <v>3.95</v>
      </c>
      <c r="AD17" s="184">
        <f t="shared" ref="AD17" si="4">AD18</f>
        <v>0.25</v>
      </c>
      <c r="AE17" s="320">
        <f t="shared" ref="AE17" si="5">AE18</f>
        <v>287</v>
      </c>
      <c r="AF17" s="184">
        <f t="shared" ref="AF17" si="6">AF18</f>
        <v>0</v>
      </c>
      <c r="AG17" s="184">
        <f t="shared" ref="AG17" si="7">AG18</f>
        <v>0</v>
      </c>
      <c r="AH17" s="184">
        <f t="shared" ref="AH17" si="8">AH18</f>
        <v>12.836795200860001</v>
      </c>
      <c r="AI17" s="184">
        <f t="shared" ref="AI17" si="9">AI18</f>
        <v>0</v>
      </c>
      <c r="AJ17" s="184">
        <f t="shared" ref="AJ17" si="10">AJ18</f>
        <v>0</v>
      </c>
      <c r="AK17" s="184">
        <f t="shared" ref="AK17" si="11">AK18</f>
        <v>3.95</v>
      </c>
      <c r="AL17" s="184">
        <f t="shared" ref="AL17" si="12">AL18</f>
        <v>0.25</v>
      </c>
      <c r="AM17" s="320">
        <f t="shared" ref="AM17" si="13">AM18</f>
        <v>287</v>
      </c>
      <c r="AN17" s="184">
        <f t="shared" ref="AN17" si="14">AN18</f>
        <v>0</v>
      </c>
    </row>
    <row r="18" spans="1:40" s="189" customFormat="1" x14ac:dyDescent="0.25">
      <c r="A18" s="186" t="s">
        <v>81</v>
      </c>
      <c r="B18" s="9" t="s">
        <v>36</v>
      </c>
      <c r="C18" s="187">
        <v>0</v>
      </c>
      <c r="D18" s="187">
        <f>D38+D73</f>
        <v>0</v>
      </c>
      <c r="E18" s="187">
        <f t="shared" ref="E18:Z18" si="15">E38+E73</f>
        <v>0</v>
      </c>
      <c r="F18" s="187">
        <f t="shared" si="15"/>
        <v>0</v>
      </c>
      <c r="G18" s="187">
        <f t="shared" si="15"/>
        <v>0</v>
      </c>
      <c r="H18" s="187">
        <f t="shared" si="15"/>
        <v>0</v>
      </c>
      <c r="I18" s="187">
        <f t="shared" si="15"/>
        <v>0</v>
      </c>
      <c r="J18" s="187">
        <f t="shared" si="15"/>
        <v>0</v>
      </c>
      <c r="K18" s="187">
        <f t="shared" si="15"/>
        <v>0</v>
      </c>
      <c r="L18" s="187">
        <f t="shared" si="15"/>
        <v>0</v>
      </c>
      <c r="M18" s="187">
        <f t="shared" si="15"/>
        <v>0</v>
      </c>
      <c r="N18" s="187">
        <f t="shared" si="15"/>
        <v>0</v>
      </c>
      <c r="O18" s="187">
        <f t="shared" si="15"/>
        <v>0</v>
      </c>
      <c r="P18" s="187">
        <f t="shared" si="15"/>
        <v>0</v>
      </c>
      <c r="Q18" s="187">
        <f t="shared" si="15"/>
        <v>0</v>
      </c>
      <c r="R18" s="187">
        <f t="shared" si="15"/>
        <v>0</v>
      </c>
      <c r="S18" s="187">
        <f t="shared" si="15"/>
        <v>0</v>
      </c>
      <c r="T18" s="187">
        <f t="shared" si="15"/>
        <v>0</v>
      </c>
      <c r="U18" s="187">
        <f t="shared" si="15"/>
        <v>0</v>
      </c>
      <c r="V18" s="187">
        <f t="shared" si="15"/>
        <v>0</v>
      </c>
      <c r="W18" s="187">
        <f t="shared" si="15"/>
        <v>0</v>
      </c>
      <c r="X18" s="187">
        <f t="shared" si="15"/>
        <v>0</v>
      </c>
      <c r="Y18" s="187">
        <f t="shared" si="15"/>
        <v>0</v>
      </c>
      <c r="Z18" s="187">
        <f t="shared" si="15"/>
        <v>12.836795200860001</v>
      </c>
      <c r="AA18" s="187">
        <f t="shared" ref="AA18:AN18" si="16">AA38+AA73</f>
        <v>0</v>
      </c>
      <c r="AB18" s="187">
        <f t="shared" si="16"/>
        <v>0</v>
      </c>
      <c r="AC18" s="187">
        <f t="shared" si="16"/>
        <v>3.95</v>
      </c>
      <c r="AD18" s="187">
        <f t="shared" si="16"/>
        <v>0.25</v>
      </c>
      <c r="AE18" s="321">
        <f t="shared" si="16"/>
        <v>287</v>
      </c>
      <c r="AF18" s="187">
        <f t="shared" si="16"/>
        <v>0</v>
      </c>
      <c r="AG18" s="187">
        <f t="shared" si="16"/>
        <v>0</v>
      </c>
      <c r="AH18" s="187">
        <f t="shared" si="16"/>
        <v>12.836795200860001</v>
      </c>
      <c r="AI18" s="187">
        <f t="shared" si="16"/>
        <v>0</v>
      </c>
      <c r="AJ18" s="187">
        <f t="shared" si="16"/>
        <v>0</v>
      </c>
      <c r="AK18" s="187">
        <f t="shared" si="16"/>
        <v>3.95</v>
      </c>
      <c r="AL18" s="187">
        <f t="shared" si="16"/>
        <v>0.25</v>
      </c>
      <c r="AM18" s="321">
        <f t="shared" si="16"/>
        <v>287</v>
      </c>
      <c r="AN18" s="187">
        <f t="shared" si="16"/>
        <v>0</v>
      </c>
    </row>
    <row r="19" spans="1:40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AN19" si="17">E36</f>
        <v>0</v>
      </c>
      <c r="F19" s="184">
        <f t="shared" si="17"/>
        <v>0</v>
      </c>
      <c r="G19" s="184">
        <f t="shared" si="17"/>
        <v>0</v>
      </c>
      <c r="H19" s="184">
        <f t="shared" si="17"/>
        <v>0</v>
      </c>
      <c r="I19" s="184">
        <f t="shared" si="17"/>
        <v>0</v>
      </c>
      <c r="J19" s="184">
        <f t="shared" si="17"/>
        <v>0</v>
      </c>
      <c r="K19" s="184">
        <f t="shared" si="17"/>
        <v>0</v>
      </c>
      <c r="L19" s="184">
        <f t="shared" si="17"/>
        <v>0</v>
      </c>
      <c r="M19" s="184">
        <f t="shared" si="17"/>
        <v>0</v>
      </c>
      <c r="N19" s="184">
        <f t="shared" si="17"/>
        <v>0</v>
      </c>
      <c r="O19" s="184">
        <f t="shared" si="17"/>
        <v>0</v>
      </c>
      <c r="P19" s="184">
        <f t="shared" si="17"/>
        <v>0</v>
      </c>
      <c r="Q19" s="184">
        <f t="shared" si="17"/>
        <v>0</v>
      </c>
      <c r="R19" s="184">
        <f t="shared" si="17"/>
        <v>0</v>
      </c>
      <c r="S19" s="184">
        <f t="shared" si="17"/>
        <v>0</v>
      </c>
      <c r="T19" s="184">
        <f t="shared" si="17"/>
        <v>0</v>
      </c>
      <c r="U19" s="184">
        <f t="shared" si="17"/>
        <v>0</v>
      </c>
      <c r="V19" s="184">
        <f t="shared" si="17"/>
        <v>0</v>
      </c>
      <c r="W19" s="184">
        <f t="shared" si="17"/>
        <v>0</v>
      </c>
      <c r="X19" s="184">
        <f t="shared" si="17"/>
        <v>0</v>
      </c>
      <c r="Y19" s="184">
        <f t="shared" si="17"/>
        <v>0</v>
      </c>
      <c r="Z19" s="184">
        <f t="shared" si="17"/>
        <v>0</v>
      </c>
      <c r="AA19" s="184">
        <f t="shared" si="17"/>
        <v>0</v>
      </c>
      <c r="AB19" s="184">
        <f t="shared" si="17"/>
        <v>0</v>
      </c>
      <c r="AC19" s="184">
        <f t="shared" si="17"/>
        <v>0</v>
      </c>
      <c r="AD19" s="184">
        <f t="shared" si="17"/>
        <v>0</v>
      </c>
      <c r="AE19" s="320"/>
      <c r="AF19" s="184">
        <f t="shared" si="17"/>
        <v>0</v>
      </c>
      <c r="AG19" s="184">
        <f t="shared" si="17"/>
        <v>0</v>
      </c>
      <c r="AH19" s="184">
        <f t="shared" si="17"/>
        <v>0</v>
      </c>
      <c r="AI19" s="184">
        <f t="shared" si="17"/>
        <v>0</v>
      </c>
      <c r="AJ19" s="184">
        <f t="shared" si="17"/>
        <v>0</v>
      </c>
      <c r="AK19" s="184">
        <f t="shared" si="17"/>
        <v>0</v>
      </c>
      <c r="AL19" s="184">
        <f t="shared" si="17"/>
        <v>0</v>
      </c>
      <c r="AM19" s="320"/>
      <c r="AN19" s="184">
        <f t="shared" si="17"/>
        <v>0</v>
      </c>
    </row>
    <row r="20" spans="1:40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463"/>
      <c r="AF20" s="191"/>
      <c r="AG20" s="191"/>
      <c r="AH20" s="191"/>
      <c r="AI20" s="191"/>
      <c r="AJ20" s="191"/>
      <c r="AK20" s="191"/>
      <c r="AL20" s="191"/>
      <c r="AM20" s="463"/>
      <c r="AN20" s="191"/>
    </row>
    <row r="21" spans="1:40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321"/>
      <c r="AF21" s="187"/>
      <c r="AG21" s="187"/>
      <c r="AH21" s="187"/>
      <c r="AI21" s="187"/>
      <c r="AJ21" s="187"/>
      <c r="AK21" s="187"/>
      <c r="AL21" s="187"/>
      <c r="AM21" s="321"/>
      <c r="AN21" s="187"/>
    </row>
    <row r="22" spans="1:40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321"/>
      <c r="AF22" s="187"/>
      <c r="AG22" s="187"/>
      <c r="AH22" s="187"/>
      <c r="AI22" s="187"/>
      <c r="AJ22" s="187"/>
      <c r="AK22" s="187"/>
      <c r="AL22" s="187"/>
      <c r="AM22" s="321"/>
      <c r="AN22" s="187"/>
    </row>
    <row r="23" spans="1:40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321"/>
      <c r="AF23" s="187"/>
      <c r="AG23" s="187"/>
      <c r="AH23" s="187"/>
      <c r="AI23" s="187"/>
      <c r="AJ23" s="187"/>
      <c r="AK23" s="187"/>
      <c r="AL23" s="187"/>
      <c r="AM23" s="321"/>
      <c r="AN23" s="187"/>
    </row>
    <row r="24" spans="1:40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463"/>
      <c r="AF24" s="191"/>
      <c r="AG24" s="191"/>
      <c r="AH24" s="191"/>
      <c r="AI24" s="191"/>
      <c r="AJ24" s="191"/>
      <c r="AK24" s="191"/>
      <c r="AL24" s="191"/>
      <c r="AM24" s="463"/>
      <c r="AN24" s="191"/>
    </row>
    <row r="25" spans="1:40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321"/>
      <c r="AF25" s="187"/>
      <c r="AG25" s="187"/>
      <c r="AH25" s="187"/>
      <c r="AI25" s="187"/>
      <c r="AJ25" s="187"/>
      <c r="AK25" s="187"/>
      <c r="AL25" s="187"/>
      <c r="AM25" s="321"/>
      <c r="AN25" s="187"/>
    </row>
    <row r="26" spans="1:40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321"/>
      <c r="AF26" s="187"/>
      <c r="AG26" s="187"/>
      <c r="AH26" s="187"/>
      <c r="AI26" s="187"/>
      <c r="AJ26" s="187"/>
      <c r="AK26" s="187"/>
      <c r="AL26" s="187"/>
      <c r="AM26" s="321"/>
      <c r="AN26" s="187"/>
    </row>
    <row r="27" spans="1:40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463"/>
      <c r="AF27" s="191"/>
      <c r="AG27" s="191"/>
      <c r="AH27" s="191"/>
      <c r="AI27" s="191"/>
      <c r="AJ27" s="191"/>
      <c r="AK27" s="191"/>
      <c r="AL27" s="191"/>
      <c r="AM27" s="463"/>
      <c r="AN27" s="191"/>
    </row>
    <row r="28" spans="1:40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321"/>
      <c r="AF28" s="187"/>
      <c r="AG28" s="187"/>
      <c r="AH28" s="187"/>
      <c r="AI28" s="187"/>
      <c r="AJ28" s="187"/>
      <c r="AK28" s="187"/>
      <c r="AL28" s="187"/>
      <c r="AM28" s="321"/>
      <c r="AN28" s="187"/>
    </row>
    <row r="29" spans="1:40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321"/>
      <c r="AF29" s="187"/>
      <c r="AG29" s="187"/>
      <c r="AH29" s="187"/>
      <c r="AI29" s="187"/>
      <c r="AJ29" s="187"/>
      <c r="AK29" s="187"/>
      <c r="AL29" s="187"/>
      <c r="AM29" s="321"/>
      <c r="AN29" s="187"/>
    </row>
    <row r="30" spans="1:40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321"/>
      <c r="AF30" s="187"/>
      <c r="AG30" s="187"/>
      <c r="AH30" s="187"/>
      <c r="AI30" s="187"/>
      <c r="AJ30" s="187"/>
      <c r="AK30" s="187"/>
      <c r="AL30" s="187"/>
      <c r="AM30" s="321"/>
      <c r="AN30" s="187"/>
    </row>
    <row r="31" spans="1:40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321"/>
      <c r="AF31" s="187"/>
      <c r="AG31" s="187"/>
      <c r="AH31" s="187"/>
      <c r="AI31" s="187"/>
      <c r="AJ31" s="187"/>
      <c r="AK31" s="187"/>
      <c r="AL31" s="187"/>
      <c r="AM31" s="321"/>
      <c r="AN31" s="187"/>
    </row>
    <row r="32" spans="1:40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321"/>
      <c r="AF32" s="187"/>
      <c r="AG32" s="187"/>
      <c r="AH32" s="187"/>
      <c r="AI32" s="187"/>
      <c r="AJ32" s="187"/>
      <c r="AK32" s="187"/>
      <c r="AL32" s="187"/>
      <c r="AM32" s="321"/>
      <c r="AN32" s="187"/>
    </row>
    <row r="33" spans="1:40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321"/>
      <c r="AF33" s="187"/>
      <c r="AG33" s="187"/>
      <c r="AH33" s="187"/>
      <c r="AI33" s="187"/>
      <c r="AJ33" s="187"/>
      <c r="AK33" s="187"/>
      <c r="AL33" s="187"/>
      <c r="AM33" s="321"/>
      <c r="AN33" s="187"/>
    </row>
    <row r="34" spans="1:40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321"/>
      <c r="AF34" s="187"/>
      <c r="AG34" s="187"/>
      <c r="AH34" s="187"/>
      <c r="AI34" s="187"/>
      <c r="AJ34" s="187"/>
      <c r="AK34" s="187"/>
      <c r="AL34" s="187"/>
      <c r="AM34" s="321"/>
      <c r="AN34" s="187"/>
    </row>
    <row r="35" spans="1:40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321"/>
      <c r="AF35" s="187"/>
      <c r="AG35" s="187"/>
      <c r="AH35" s="187"/>
      <c r="AI35" s="187"/>
      <c r="AJ35" s="187"/>
      <c r="AK35" s="187"/>
      <c r="AL35" s="187"/>
      <c r="AM35" s="321"/>
      <c r="AN35" s="187"/>
    </row>
    <row r="36" spans="1:40" s="196" customFormat="1" ht="63" collapsed="1" x14ac:dyDescent="0.25">
      <c r="A36" s="194" t="s">
        <v>39</v>
      </c>
      <c r="B36" s="65" t="s">
        <v>40</v>
      </c>
      <c r="C36" s="195">
        <v>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318"/>
      <c r="AF36" s="195"/>
      <c r="AG36" s="195"/>
      <c r="AH36" s="195"/>
      <c r="AI36" s="195"/>
      <c r="AJ36" s="195"/>
      <c r="AK36" s="195"/>
      <c r="AL36" s="195"/>
      <c r="AM36" s="318"/>
      <c r="AN36" s="195"/>
    </row>
    <row r="37" spans="1:40" s="193" customFormat="1" ht="47.25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463"/>
      <c r="AF37" s="191"/>
      <c r="AG37" s="191"/>
      <c r="AH37" s="191"/>
      <c r="AI37" s="191"/>
      <c r="AJ37" s="191"/>
      <c r="AK37" s="191"/>
      <c r="AL37" s="191"/>
      <c r="AM37" s="463"/>
      <c r="AN37" s="191"/>
    </row>
    <row r="38" spans="1:40" s="185" customFormat="1" ht="31.5" x14ac:dyDescent="0.25">
      <c r="A38" s="183" t="s">
        <v>42</v>
      </c>
      <c r="B38" s="64" t="s">
        <v>43</v>
      </c>
      <c r="C38" s="184">
        <v>0</v>
      </c>
      <c r="D38" s="184">
        <f>D39+D45+D52</f>
        <v>0</v>
      </c>
      <c r="E38" s="184">
        <f t="shared" ref="E38:AC38" si="18">E39+E45+E52</f>
        <v>0</v>
      </c>
      <c r="F38" s="184">
        <f t="shared" si="18"/>
        <v>0</v>
      </c>
      <c r="G38" s="184">
        <f t="shared" si="18"/>
        <v>0</v>
      </c>
      <c r="H38" s="184">
        <f t="shared" si="18"/>
        <v>0</v>
      </c>
      <c r="I38" s="184">
        <f t="shared" si="18"/>
        <v>0</v>
      </c>
      <c r="J38" s="184">
        <f t="shared" si="18"/>
        <v>0</v>
      </c>
      <c r="K38" s="184">
        <f t="shared" si="18"/>
        <v>0</v>
      </c>
      <c r="L38" s="184">
        <f t="shared" si="18"/>
        <v>0</v>
      </c>
      <c r="M38" s="184">
        <f t="shared" si="18"/>
        <v>0</v>
      </c>
      <c r="N38" s="184">
        <f t="shared" si="18"/>
        <v>0</v>
      </c>
      <c r="O38" s="184">
        <f t="shared" si="18"/>
        <v>0</v>
      </c>
      <c r="P38" s="184">
        <f t="shared" si="18"/>
        <v>0</v>
      </c>
      <c r="Q38" s="184">
        <f t="shared" si="18"/>
        <v>0</v>
      </c>
      <c r="R38" s="184">
        <f t="shared" si="18"/>
        <v>0</v>
      </c>
      <c r="S38" s="184">
        <f t="shared" si="18"/>
        <v>0</v>
      </c>
      <c r="T38" s="184">
        <f t="shared" si="18"/>
        <v>0</v>
      </c>
      <c r="U38" s="184">
        <f t="shared" si="18"/>
        <v>0</v>
      </c>
      <c r="V38" s="184">
        <f t="shared" si="18"/>
        <v>0</v>
      </c>
      <c r="W38" s="184">
        <f t="shared" si="18"/>
        <v>0</v>
      </c>
      <c r="X38" s="184">
        <f t="shared" si="18"/>
        <v>0</v>
      </c>
      <c r="Y38" s="184">
        <f t="shared" si="18"/>
        <v>0</v>
      </c>
      <c r="Z38" s="184">
        <f t="shared" si="18"/>
        <v>12.836795200860001</v>
      </c>
      <c r="AA38" s="184">
        <f t="shared" si="18"/>
        <v>0</v>
      </c>
      <c r="AB38" s="184">
        <f t="shared" si="18"/>
        <v>0</v>
      </c>
      <c r="AC38" s="184">
        <f t="shared" si="18"/>
        <v>3.95</v>
      </c>
      <c r="AD38" s="184">
        <f t="shared" ref="AD38" si="19">AD39+AD45+AD52</f>
        <v>0.25</v>
      </c>
      <c r="AE38" s="320">
        <f t="shared" ref="AE38" si="20">AE39+AE45+AE52</f>
        <v>287</v>
      </c>
      <c r="AF38" s="184">
        <f t="shared" ref="AF38" si="21">AF39+AF45+AF52</f>
        <v>0</v>
      </c>
      <c r="AG38" s="184">
        <f t="shared" ref="AG38" si="22">AG39+AG45+AG52</f>
        <v>0</v>
      </c>
      <c r="AH38" s="184">
        <f t="shared" ref="AH38" si="23">AH39+AH45+AH52</f>
        <v>12.836795200860001</v>
      </c>
      <c r="AI38" s="184">
        <f t="shared" ref="AI38" si="24">AI39+AI45+AI52</f>
        <v>0</v>
      </c>
      <c r="AJ38" s="184">
        <f t="shared" ref="AJ38" si="25">AJ39+AJ45+AJ52</f>
        <v>0</v>
      </c>
      <c r="AK38" s="184">
        <f t="shared" ref="AK38" si="26">AK39+AK45+AK52</f>
        <v>3.95</v>
      </c>
      <c r="AL38" s="184">
        <f t="shared" ref="AL38" si="27">AL39+AL45+AL52</f>
        <v>0.25</v>
      </c>
      <c r="AM38" s="320">
        <f t="shared" ref="AM38" si="28">AM39+AM45+AM52</f>
        <v>287</v>
      </c>
      <c r="AN38" s="184">
        <f t="shared" ref="AN38" si="29">AN39+AN45+AN52</f>
        <v>0</v>
      </c>
    </row>
    <row r="39" spans="1:40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0</v>
      </c>
      <c r="E39" s="195">
        <f t="shared" ref="E39:T39" si="30">E40</f>
        <v>0</v>
      </c>
      <c r="F39" s="195">
        <f t="shared" si="30"/>
        <v>0</v>
      </c>
      <c r="G39" s="195">
        <f t="shared" si="30"/>
        <v>0</v>
      </c>
      <c r="H39" s="195">
        <f t="shared" si="30"/>
        <v>0</v>
      </c>
      <c r="I39" s="195">
        <f t="shared" si="30"/>
        <v>0</v>
      </c>
      <c r="J39" s="195">
        <f t="shared" si="30"/>
        <v>0</v>
      </c>
      <c r="K39" s="195">
        <f t="shared" si="30"/>
        <v>0</v>
      </c>
      <c r="L39" s="195">
        <f t="shared" si="30"/>
        <v>0</v>
      </c>
      <c r="M39" s="195">
        <f t="shared" si="30"/>
        <v>0</v>
      </c>
      <c r="N39" s="195">
        <f t="shared" si="30"/>
        <v>0</v>
      </c>
      <c r="O39" s="195">
        <f t="shared" si="30"/>
        <v>0</v>
      </c>
      <c r="P39" s="195">
        <f t="shared" si="30"/>
        <v>0</v>
      </c>
      <c r="Q39" s="195">
        <f t="shared" si="30"/>
        <v>0</v>
      </c>
      <c r="R39" s="195">
        <f t="shared" si="30"/>
        <v>0</v>
      </c>
      <c r="S39" s="195">
        <f t="shared" si="30"/>
        <v>0</v>
      </c>
      <c r="T39" s="195">
        <f t="shared" si="30"/>
        <v>0</v>
      </c>
      <c r="U39" s="195">
        <f t="shared" ref="U39:AN39" si="31">U40</f>
        <v>0</v>
      </c>
      <c r="V39" s="195">
        <f t="shared" si="31"/>
        <v>0</v>
      </c>
      <c r="W39" s="195">
        <f t="shared" si="31"/>
        <v>0</v>
      </c>
      <c r="X39" s="195">
        <f t="shared" si="31"/>
        <v>0</v>
      </c>
      <c r="Y39" s="195">
        <f t="shared" si="31"/>
        <v>0</v>
      </c>
      <c r="Z39" s="195">
        <f t="shared" si="31"/>
        <v>0</v>
      </c>
      <c r="AA39" s="195">
        <f t="shared" si="31"/>
        <v>0</v>
      </c>
      <c r="AB39" s="195">
        <f t="shared" si="31"/>
        <v>0</v>
      </c>
      <c r="AC39" s="195">
        <f t="shared" si="31"/>
        <v>0</v>
      </c>
      <c r="AD39" s="195">
        <f t="shared" si="31"/>
        <v>0</v>
      </c>
      <c r="AE39" s="195">
        <f t="shared" si="31"/>
        <v>0</v>
      </c>
      <c r="AF39" s="195">
        <f t="shared" si="31"/>
        <v>0</v>
      </c>
      <c r="AG39" s="195">
        <f t="shared" si="31"/>
        <v>0</v>
      </c>
      <c r="AH39" s="195">
        <f t="shared" si="31"/>
        <v>0</v>
      </c>
      <c r="AI39" s="195">
        <f t="shared" si="31"/>
        <v>0</v>
      </c>
      <c r="AJ39" s="195">
        <f t="shared" si="31"/>
        <v>0</v>
      </c>
      <c r="AK39" s="195">
        <f t="shared" si="31"/>
        <v>0</v>
      </c>
      <c r="AL39" s="195">
        <f t="shared" si="31"/>
        <v>0</v>
      </c>
      <c r="AM39" s="318">
        <f t="shared" si="31"/>
        <v>0</v>
      </c>
      <c r="AN39" s="195">
        <f t="shared" si="31"/>
        <v>0</v>
      </c>
    </row>
    <row r="40" spans="1:40" s="200" customFormat="1" ht="31.5" x14ac:dyDescent="0.25">
      <c r="A40" s="197" t="s">
        <v>44</v>
      </c>
      <c r="B40" s="11" t="s">
        <v>45</v>
      </c>
      <c r="C40" s="198">
        <v>0</v>
      </c>
      <c r="D40" s="198">
        <f>SUM(D41:D43)</f>
        <v>0</v>
      </c>
      <c r="E40" s="198">
        <f t="shared" ref="E40:AC40" si="32">SUM(E41:E43)</f>
        <v>0</v>
      </c>
      <c r="F40" s="198">
        <f t="shared" si="32"/>
        <v>0</v>
      </c>
      <c r="G40" s="198">
        <f t="shared" si="32"/>
        <v>0</v>
      </c>
      <c r="H40" s="198">
        <f t="shared" si="32"/>
        <v>0</v>
      </c>
      <c r="I40" s="198">
        <f t="shared" si="32"/>
        <v>0</v>
      </c>
      <c r="J40" s="198">
        <f t="shared" si="32"/>
        <v>0</v>
      </c>
      <c r="K40" s="198">
        <f t="shared" si="32"/>
        <v>0</v>
      </c>
      <c r="L40" s="198">
        <f t="shared" si="32"/>
        <v>0</v>
      </c>
      <c r="M40" s="198">
        <f t="shared" si="32"/>
        <v>0</v>
      </c>
      <c r="N40" s="198">
        <f t="shared" si="32"/>
        <v>0</v>
      </c>
      <c r="O40" s="198">
        <f t="shared" si="32"/>
        <v>0</v>
      </c>
      <c r="P40" s="198">
        <f t="shared" si="32"/>
        <v>0</v>
      </c>
      <c r="Q40" s="198">
        <f t="shared" si="32"/>
        <v>0</v>
      </c>
      <c r="R40" s="198">
        <f t="shared" si="32"/>
        <v>0</v>
      </c>
      <c r="S40" s="198">
        <f t="shared" si="32"/>
        <v>0</v>
      </c>
      <c r="T40" s="198">
        <f t="shared" si="32"/>
        <v>0</v>
      </c>
      <c r="U40" s="198">
        <f t="shared" si="32"/>
        <v>0</v>
      </c>
      <c r="V40" s="198">
        <f t="shared" si="32"/>
        <v>0</v>
      </c>
      <c r="W40" s="198">
        <f t="shared" si="32"/>
        <v>0</v>
      </c>
      <c r="X40" s="198">
        <f t="shared" si="32"/>
        <v>0</v>
      </c>
      <c r="Y40" s="198">
        <f t="shared" si="32"/>
        <v>0</v>
      </c>
      <c r="Z40" s="198">
        <f t="shared" si="32"/>
        <v>0</v>
      </c>
      <c r="AA40" s="198">
        <f t="shared" si="32"/>
        <v>0</v>
      </c>
      <c r="AB40" s="198">
        <f t="shared" si="32"/>
        <v>0</v>
      </c>
      <c r="AC40" s="198">
        <f t="shared" si="32"/>
        <v>0</v>
      </c>
      <c r="AD40" s="198">
        <f t="shared" ref="AD40" si="33">SUM(AD41:AD43)</f>
        <v>0</v>
      </c>
      <c r="AE40" s="198">
        <f t="shared" ref="AE40" si="34">SUM(AE41:AE43)</f>
        <v>0</v>
      </c>
      <c r="AF40" s="198">
        <f t="shared" ref="AF40" si="35">SUM(AF41:AF43)</f>
        <v>0</v>
      </c>
      <c r="AG40" s="198">
        <f t="shared" ref="AG40" si="36">SUM(AG41:AG43)</f>
        <v>0</v>
      </c>
      <c r="AH40" s="198">
        <f t="shared" ref="AH40" si="37">SUM(AH41:AH43)</f>
        <v>0</v>
      </c>
      <c r="AI40" s="198">
        <f t="shared" ref="AI40" si="38">SUM(AI41:AI43)</f>
        <v>0</v>
      </c>
      <c r="AJ40" s="198">
        <f t="shared" ref="AJ40" si="39">SUM(AJ41:AJ43)</f>
        <v>0</v>
      </c>
      <c r="AK40" s="198">
        <f t="shared" ref="AK40" si="40">SUM(AK41:AK43)</f>
        <v>0</v>
      </c>
      <c r="AL40" s="198">
        <f t="shared" ref="AL40" si="41">SUM(AL41:AL43)</f>
        <v>0</v>
      </c>
      <c r="AM40" s="319">
        <f t="shared" ref="AM40" si="42">SUM(AM41:AM43)</f>
        <v>0</v>
      </c>
      <c r="AN40" s="198">
        <f t="shared" ref="AN40" si="43">SUM(AN41:AN43)</f>
        <v>0</v>
      </c>
    </row>
    <row r="41" spans="1:40" s="362" customFormat="1" x14ac:dyDescent="0.25">
      <c r="A41" s="14" t="s">
        <v>46</v>
      </c>
      <c r="B41" s="417" t="s">
        <v>735</v>
      </c>
      <c r="C41" s="390" t="s">
        <v>721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351">
        <v>0</v>
      </c>
      <c r="U41" s="351">
        <v>0</v>
      </c>
      <c r="V41" s="351">
        <v>0</v>
      </c>
      <c r="W41" s="351">
        <v>0</v>
      </c>
      <c r="X41" s="351">
        <v>0</v>
      </c>
      <c r="Y41" s="351">
        <v>0</v>
      </c>
      <c r="Z41" s="351">
        <v>0</v>
      </c>
      <c r="AA41" s="351">
        <v>0</v>
      </c>
      <c r="AB41" s="351">
        <v>0</v>
      </c>
      <c r="AC41" s="351">
        <v>0</v>
      </c>
      <c r="AD41" s="351">
        <v>0</v>
      </c>
      <c r="AE41" s="351"/>
      <c r="AF41" s="351">
        <v>0</v>
      </c>
      <c r="AG41" s="351">
        <f>D41+K41+R41+Y41</f>
        <v>0</v>
      </c>
      <c r="AH41" s="351">
        <f>E41+L41+S41+Z41</f>
        <v>0</v>
      </c>
      <c r="AI41" s="351">
        <f t="shared" ref="AI41:AN43" si="44">F41+M41+T41+AA41</f>
        <v>0</v>
      </c>
      <c r="AJ41" s="351">
        <f t="shared" si="44"/>
        <v>0</v>
      </c>
      <c r="AK41" s="351">
        <f t="shared" si="44"/>
        <v>0</v>
      </c>
      <c r="AL41" s="351">
        <f t="shared" si="44"/>
        <v>0</v>
      </c>
      <c r="AM41" s="368">
        <f t="shared" si="44"/>
        <v>0</v>
      </c>
      <c r="AN41" s="351">
        <f t="shared" si="44"/>
        <v>0</v>
      </c>
    </row>
    <row r="42" spans="1:40" s="362" customFormat="1" x14ac:dyDescent="0.25">
      <c r="A42" s="14" t="s">
        <v>527</v>
      </c>
      <c r="B42" s="419" t="s">
        <v>736</v>
      </c>
      <c r="C42" s="390" t="s">
        <v>722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>
        <f t="shared" ref="AH42:AH43" si="45">E42+L42+S42+Z42</f>
        <v>0</v>
      </c>
      <c r="AI42" s="351">
        <f t="shared" si="44"/>
        <v>0</v>
      </c>
      <c r="AJ42" s="351">
        <f t="shared" si="44"/>
        <v>0</v>
      </c>
      <c r="AK42" s="351">
        <f t="shared" si="44"/>
        <v>0</v>
      </c>
      <c r="AL42" s="351">
        <f t="shared" si="44"/>
        <v>0</v>
      </c>
      <c r="AM42" s="368">
        <f t="shared" si="44"/>
        <v>0</v>
      </c>
      <c r="AN42" s="351">
        <f t="shared" si="44"/>
        <v>0</v>
      </c>
    </row>
    <row r="43" spans="1:40" s="362" customFormat="1" x14ac:dyDescent="0.25">
      <c r="A43" s="14" t="s">
        <v>700</v>
      </c>
      <c r="B43" s="419" t="s">
        <v>737</v>
      </c>
      <c r="C43" s="390" t="s">
        <v>723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>
        <f t="shared" si="45"/>
        <v>0</v>
      </c>
      <c r="AI43" s="351">
        <f t="shared" si="44"/>
        <v>0</v>
      </c>
      <c r="AJ43" s="351">
        <f t="shared" si="44"/>
        <v>0</v>
      </c>
      <c r="AK43" s="351">
        <f t="shared" si="44"/>
        <v>0</v>
      </c>
      <c r="AL43" s="351">
        <f t="shared" si="44"/>
        <v>0</v>
      </c>
      <c r="AM43" s="368">
        <f t="shared" si="44"/>
        <v>0</v>
      </c>
      <c r="AN43" s="351">
        <f t="shared" si="44"/>
        <v>0</v>
      </c>
    </row>
    <row r="44" spans="1:40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319"/>
      <c r="AN44" s="198"/>
    </row>
    <row r="45" spans="1:40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0</v>
      </c>
      <c r="E45" s="195">
        <f t="shared" ref="E45:Z45" si="46">E46</f>
        <v>0</v>
      </c>
      <c r="F45" s="195">
        <f t="shared" si="46"/>
        <v>0</v>
      </c>
      <c r="G45" s="195">
        <f t="shared" si="46"/>
        <v>0</v>
      </c>
      <c r="H45" s="195">
        <f t="shared" si="46"/>
        <v>0</v>
      </c>
      <c r="I45" s="195">
        <f t="shared" si="46"/>
        <v>0</v>
      </c>
      <c r="J45" s="195">
        <f t="shared" si="46"/>
        <v>0</v>
      </c>
      <c r="K45" s="195">
        <f t="shared" si="46"/>
        <v>0</v>
      </c>
      <c r="L45" s="195">
        <f t="shared" si="46"/>
        <v>0</v>
      </c>
      <c r="M45" s="195">
        <f t="shared" si="46"/>
        <v>0</v>
      </c>
      <c r="N45" s="195">
        <f t="shared" si="46"/>
        <v>0</v>
      </c>
      <c r="O45" s="195">
        <f t="shared" si="46"/>
        <v>0</v>
      </c>
      <c r="P45" s="195">
        <f t="shared" si="46"/>
        <v>0</v>
      </c>
      <c r="Q45" s="195">
        <f t="shared" si="46"/>
        <v>0</v>
      </c>
      <c r="R45" s="195">
        <f t="shared" si="46"/>
        <v>0</v>
      </c>
      <c r="S45" s="195">
        <f t="shared" si="46"/>
        <v>0</v>
      </c>
      <c r="T45" s="195">
        <f t="shared" si="46"/>
        <v>0</v>
      </c>
      <c r="U45" s="195">
        <f t="shared" si="46"/>
        <v>0</v>
      </c>
      <c r="V45" s="195">
        <f t="shared" si="46"/>
        <v>0</v>
      </c>
      <c r="W45" s="195">
        <f t="shared" si="46"/>
        <v>0</v>
      </c>
      <c r="X45" s="195">
        <f t="shared" si="46"/>
        <v>0</v>
      </c>
      <c r="Y45" s="195">
        <f t="shared" si="46"/>
        <v>0</v>
      </c>
      <c r="Z45" s="195">
        <f t="shared" si="46"/>
        <v>6.8924035058200008</v>
      </c>
      <c r="AA45" s="195">
        <f t="shared" ref="AA45" si="47">AA46</f>
        <v>0</v>
      </c>
      <c r="AB45" s="195">
        <f t="shared" ref="AB45" si="48">AB46</f>
        <v>0</v>
      </c>
      <c r="AC45" s="195">
        <f t="shared" ref="AC45" si="49">AC46</f>
        <v>3.95</v>
      </c>
      <c r="AD45" s="195">
        <f t="shared" ref="AD45" si="50">AD46</f>
        <v>0.25</v>
      </c>
      <c r="AE45" s="195">
        <f t="shared" ref="AE45" si="51">AE46</f>
        <v>0</v>
      </c>
      <c r="AF45" s="195">
        <f t="shared" ref="AF45" si="52">AF46</f>
        <v>0</v>
      </c>
      <c r="AG45" s="195">
        <f t="shared" ref="AG45" si="53">AG46</f>
        <v>0</v>
      </c>
      <c r="AH45" s="195">
        <f t="shared" ref="AH45" si="54">AH46</f>
        <v>6.8924035058200008</v>
      </c>
      <c r="AI45" s="195">
        <f t="shared" ref="AI45" si="55">AI46</f>
        <v>0</v>
      </c>
      <c r="AJ45" s="195">
        <f t="shared" ref="AJ45" si="56">AJ46</f>
        <v>0</v>
      </c>
      <c r="AK45" s="195">
        <f t="shared" ref="AK45" si="57">AK46</f>
        <v>3.95</v>
      </c>
      <c r="AL45" s="195">
        <f t="shared" ref="AL45" si="58">AL46</f>
        <v>0.25</v>
      </c>
      <c r="AM45" s="318">
        <f t="shared" ref="AM45" si="59">AM46</f>
        <v>0</v>
      </c>
      <c r="AN45" s="195">
        <f t="shared" ref="AN45" si="60">AN46</f>
        <v>0</v>
      </c>
    </row>
    <row r="46" spans="1:40" s="200" customFormat="1" x14ac:dyDescent="0.25">
      <c r="A46" s="197" t="s">
        <v>74</v>
      </c>
      <c r="B46" s="11" t="s">
        <v>75</v>
      </c>
      <c r="C46" s="198">
        <v>0</v>
      </c>
      <c r="D46" s="198">
        <f>SUM(D47:D50)</f>
        <v>0</v>
      </c>
      <c r="E46" s="198">
        <f t="shared" ref="E46:Z46" si="61">SUM(E47:E50)</f>
        <v>0</v>
      </c>
      <c r="F46" s="198">
        <f t="shared" si="61"/>
        <v>0</v>
      </c>
      <c r="G46" s="198">
        <f t="shared" si="61"/>
        <v>0</v>
      </c>
      <c r="H46" s="198">
        <f t="shared" si="61"/>
        <v>0</v>
      </c>
      <c r="I46" s="198">
        <f t="shared" si="61"/>
        <v>0</v>
      </c>
      <c r="J46" s="198">
        <f t="shared" si="61"/>
        <v>0</v>
      </c>
      <c r="K46" s="198">
        <f t="shared" si="61"/>
        <v>0</v>
      </c>
      <c r="L46" s="198">
        <f t="shared" si="61"/>
        <v>0</v>
      </c>
      <c r="M46" s="198">
        <f t="shared" si="61"/>
        <v>0</v>
      </c>
      <c r="N46" s="198">
        <f t="shared" si="61"/>
        <v>0</v>
      </c>
      <c r="O46" s="198">
        <f t="shared" si="61"/>
        <v>0</v>
      </c>
      <c r="P46" s="198">
        <f t="shared" si="61"/>
        <v>0</v>
      </c>
      <c r="Q46" s="198">
        <f t="shared" si="61"/>
        <v>0</v>
      </c>
      <c r="R46" s="198">
        <f t="shared" si="61"/>
        <v>0</v>
      </c>
      <c r="S46" s="198">
        <f t="shared" si="61"/>
        <v>0</v>
      </c>
      <c r="T46" s="198">
        <f t="shared" si="61"/>
        <v>0</v>
      </c>
      <c r="U46" s="198">
        <f t="shared" si="61"/>
        <v>0</v>
      </c>
      <c r="V46" s="198">
        <f t="shared" si="61"/>
        <v>0</v>
      </c>
      <c r="W46" s="198">
        <f t="shared" si="61"/>
        <v>0</v>
      </c>
      <c r="X46" s="198">
        <f t="shared" si="61"/>
        <v>0</v>
      </c>
      <c r="Y46" s="198">
        <f t="shared" si="61"/>
        <v>0</v>
      </c>
      <c r="Z46" s="198">
        <f t="shared" si="61"/>
        <v>6.8924035058200008</v>
      </c>
      <c r="AA46" s="198">
        <f t="shared" ref="AA46" si="62">SUM(AA47:AA50)</f>
        <v>0</v>
      </c>
      <c r="AB46" s="198">
        <f t="shared" ref="AB46" si="63">SUM(AB47:AB50)</f>
        <v>0</v>
      </c>
      <c r="AC46" s="198">
        <f t="shared" ref="AC46" si="64">SUM(AC47:AC50)</f>
        <v>3.95</v>
      </c>
      <c r="AD46" s="198">
        <f t="shared" ref="AD46" si="65">SUM(AD47:AD50)</f>
        <v>0.25</v>
      </c>
      <c r="AE46" s="198">
        <f t="shared" ref="AE46" si="66">SUM(AE47:AE50)</f>
        <v>0</v>
      </c>
      <c r="AF46" s="198">
        <f t="shared" ref="AF46" si="67">SUM(AF47:AF50)</f>
        <v>0</v>
      </c>
      <c r="AG46" s="198">
        <f t="shared" ref="AG46" si="68">SUM(AG47:AG50)</f>
        <v>0</v>
      </c>
      <c r="AH46" s="198">
        <f t="shared" ref="AH46" si="69">SUM(AH47:AH50)</f>
        <v>6.8924035058200008</v>
      </c>
      <c r="AI46" s="198">
        <f t="shared" ref="AI46" si="70">SUM(AI47:AI50)</f>
        <v>0</v>
      </c>
      <c r="AJ46" s="198">
        <f t="shared" ref="AJ46" si="71">SUM(AJ47:AJ50)</f>
        <v>0</v>
      </c>
      <c r="AK46" s="198">
        <f t="shared" ref="AK46" si="72">SUM(AK47:AK50)</f>
        <v>3.95</v>
      </c>
      <c r="AL46" s="198">
        <f t="shared" ref="AL46" si="73">SUM(AL47:AL50)</f>
        <v>0.25</v>
      </c>
      <c r="AM46" s="319">
        <f t="shared" ref="AM46" si="74">SUM(AM47:AM50)</f>
        <v>0</v>
      </c>
      <c r="AN46" s="198">
        <f t="shared" ref="AN46" si="75">SUM(AN47:AN50)</f>
        <v>0</v>
      </c>
    </row>
    <row r="47" spans="1:40" s="362" customFormat="1" ht="25.5" x14ac:dyDescent="0.25">
      <c r="A47" s="14" t="s">
        <v>76</v>
      </c>
      <c r="B47" s="417" t="s">
        <v>738</v>
      </c>
      <c r="C47" s="390" t="s">
        <v>724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>
        <f>Ф4!AK47</f>
        <v>6.8924035058200008</v>
      </c>
      <c r="AA47" s="351">
        <f>Ф4!AL47</f>
        <v>0</v>
      </c>
      <c r="AB47" s="351">
        <f>Ф4!AM47</f>
        <v>0</v>
      </c>
      <c r="AC47" s="351">
        <f>Ф4!AN47</f>
        <v>3.95</v>
      </c>
      <c r="AD47" s="351">
        <f>Ф4!AO47</f>
        <v>0.25</v>
      </c>
      <c r="AE47" s="351">
        <f>Ф4!AP47</f>
        <v>0</v>
      </c>
      <c r="AF47" s="351">
        <f>Ф4!AQ47</f>
        <v>0</v>
      </c>
      <c r="AG47" s="351"/>
      <c r="AH47" s="351">
        <f>E47+L47+S47+Z47</f>
        <v>6.8924035058200008</v>
      </c>
      <c r="AI47" s="351">
        <f>F47+M47+T47+AA47</f>
        <v>0</v>
      </c>
      <c r="AJ47" s="351">
        <f>G47+N47+U47+AB47</f>
        <v>0</v>
      </c>
      <c r="AK47" s="351">
        <f>H47+O47+V47+AC47</f>
        <v>3.95</v>
      </c>
      <c r="AL47" s="351">
        <f>I47+P47+W47+AD47</f>
        <v>0.25</v>
      </c>
      <c r="AM47" s="368">
        <f t="shared" ref="AM47:AN50" si="76">J47+Q47+X47+AE47</f>
        <v>0</v>
      </c>
      <c r="AN47" s="351">
        <f t="shared" si="76"/>
        <v>0</v>
      </c>
    </row>
    <row r="48" spans="1:40" s="362" customFormat="1" x14ac:dyDescent="0.25">
      <c r="A48" s="14" t="s">
        <v>659</v>
      </c>
      <c r="B48" s="417" t="s">
        <v>739</v>
      </c>
      <c r="C48" s="390" t="s">
        <v>725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0</v>
      </c>
      <c r="N48" s="351">
        <v>0</v>
      </c>
      <c r="O48" s="351">
        <v>0</v>
      </c>
      <c r="P48" s="351">
        <v>0</v>
      </c>
      <c r="Q48" s="351">
        <v>0</v>
      </c>
      <c r="R48" s="351">
        <v>0</v>
      </c>
      <c r="S48" s="351">
        <v>0</v>
      </c>
      <c r="T48" s="351">
        <v>0</v>
      </c>
      <c r="U48" s="351">
        <v>0</v>
      </c>
      <c r="V48" s="351">
        <v>0</v>
      </c>
      <c r="W48" s="351">
        <v>0</v>
      </c>
      <c r="X48" s="351">
        <v>0</v>
      </c>
      <c r="Y48" s="351">
        <v>0</v>
      </c>
      <c r="Z48" s="351">
        <v>0</v>
      </c>
      <c r="AA48" s="351">
        <v>0</v>
      </c>
      <c r="AB48" s="351">
        <v>0</v>
      </c>
      <c r="AC48" s="351">
        <v>0</v>
      </c>
      <c r="AD48" s="351">
        <v>0</v>
      </c>
      <c r="AE48" s="351"/>
      <c r="AF48" s="351">
        <v>0</v>
      </c>
      <c r="AG48" s="351">
        <f>D48+K48+R48+Y48</f>
        <v>0</v>
      </c>
      <c r="AH48" s="351">
        <f t="shared" ref="AH48:AH50" si="77">E48+L48+S48+Z48</f>
        <v>0</v>
      </c>
      <c r="AI48" s="351">
        <f t="shared" ref="AI48:AL50" si="78">F48+M48+T48+AA48</f>
        <v>0</v>
      </c>
      <c r="AJ48" s="351">
        <f t="shared" si="78"/>
        <v>0</v>
      </c>
      <c r="AK48" s="351">
        <f t="shared" si="78"/>
        <v>0</v>
      </c>
      <c r="AL48" s="351">
        <f t="shared" si="78"/>
        <v>0</v>
      </c>
      <c r="AM48" s="368">
        <f t="shared" si="76"/>
        <v>0</v>
      </c>
      <c r="AN48" s="351">
        <f t="shared" si="76"/>
        <v>0</v>
      </c>
    </row>
    <row r="49" spans="1:40" s="362" customFormat="1" x14ac:dyDescent="0.25">
      <c r="A49" s="14" t="s">
        <v>661</v>
      </c>
      <c r="B49" s="417" t="s">
        <v>740</v>
      </c>
      <c r="C49" s="390" t="s">
        <v>726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>
        <f t="shared" si="77"/>
        <v>0</v>
      </c>
      <c r="AI49" s="351">
        <f t="shared" si="78"/>
        <v>0</v>
      </c>
      <c r="AJ49" s="351">
        <f t="shared" si="78"/>
        <v>0</v>
      </c>
      <c r="AK49" s="351">
        <f t="shared" si="78"/>
        <v>0</v>
      </c>
      <c r="AL49" s="351">
        <f t="shared" si="78"/>
        <v>0</v>
      </c>
      <c r="AM49" s="368">
        <f t="shared" si="76"/>
        <v>0</v>
      </c>
      <c r="AN49" s="351">
        <f t="shared" si="76"/>
        <v>0</v>
      </c>
    </row>
    <row r="50" spans="1:40" s="362" customFormat="1" ht="38.25" x14ac:dyDescent="0.25">
      <c r="A50" s="14" t="s">
        <v>662</v>
      </c>
      <c r="B50" s="417" t="s">
        <v>741</v>
      </c>
      <c r="C50" s="390" t="s">
        <v>727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>
        <f t="shared" si="77"/>
        <v>0</v>
      </c>
      <c r="AI50" s="351">
        <f t="shared" si="78"/>
        <v>0</v>
      </c>
      <c r="AJ50" s="351">
        <f t="shared" si="78"/>
        <v>0</v>
      </c>
      <c r="AK50" s="351">
        <f t="shared" si="78"/>
        <v>0</v>
      </c>
      <c r="AL50" s="351">
        <f t="shared" si="78"/>
        <v>0</v>
      </c>
      <c r="AM50" s="368">
        <f t="shared" si="76"/>
        <v>0</v>
      </c>
      <c r="AN50" s="351">
        <f t="shared" si="76"/>
        <v>0</v>
      </c>
    </row>
    <row r="51" spans="1:40" s="200" customFormat="1" ht="31.5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319"/>
      <c r="AN51" s="198"/>
    </row>
    <row r="52" spans="1:40" s="196" customFormat="1" ht="31.5" x14ac:dyDescent="0.25">
      <c r="A52" s="194" t="s">
        <v>116</v>
      </c>
      <c r="B52" s="65" t="s">
        <v>117</v>
      </c>
      <c r="C52" s="195">
        <v>0</v>
      </c>
      <c r="D52" s="195">
        <f>D53</f>
        <v>0</v>
      </c>
      <c r="E52" s="195">
        <f t="shared" ref="E52:AC52" si="79">E53</f>
        <v>0</v>
      </c>
      <c r="F52" s="195">
        <f t="shared" si="79"/>
        <v>0</v>
      </c>
      <c r="G52" s="195">
        <f t="shared" si="79"/>
        <v>0</v>
      </c>
      <c r="H52" s="195">
        <f t="shared" si="79"/>
        <v>0</v>
      </c>
      <c r="I52" s="195">
        <f t="shared" si="79"/>
        <v>0</v>
      </c>
      <c r="J52" s="195">
        <f t="shared" si="79"/>
        <v>0</v>
      </c>
      <c r="K52" s="195">
        <f t="shared" si="79"/>
        <v>0</v>
      </c>
      <c r="L52" s="195">
        <f t="shared" si="79"/>
        <v>0</v>
      </c>
      <c r="M52" s="195">
        <f t="shared" si="79"/>
        <v>0</v>
      </c>
      <c r="N52" s="195">
        <f t="shared" si="79"/>
        <v>0</v>
      </c>
      <c r="O52" s="195">
        <f t="shared" si="79"/>
        <v>0</v>
      </c>
      <c r="P52" s="195">
        <f t="shared" si="79"/>
        <v>0</v>
      </c>
      <c r="Q52" s="195">
        <f t="shared" si="79"/>
        <v>0</v>
      </c>
      <c r="R52" s="195">
        <f t="shared" si="79"/>
        <v>0</v>
      </c>
      <c r="S52" s="195">
        <f t="shared" si="79"/>
        <v>0</v>
      </c>
      <c r="T52" s="195">
        <f t="shared" si="79"/>
        <v>0</v>
      </c>
      <c r="U52" s="195">
        <f t="shared" si="79"/>
        <v>0</v>
      </c>
      <c r="V52" s="195">
        <f t="shared" si="79"/>
        <v>0</v>
      </c>
      <c r="W52" s="195">
        <f t="shared" si="79"/>
        <v>0</v>
      </c>
      <c r="X52" s="195">
        <f t="shared" si="79"/>
        <v>0</v>
      </c>
      <c r="Y52" s="195">
        <f t="shared" si="79"/>
        <v>0</v>
      </c>
      <c r="Z52" s="195">
        <f t="shared" si="79"/>
        <v>5.9443916950400002</v>
      </c>
      <c r="AA52" s="195">
        <f t="shared" si="79"/>
        <v>0</v>
      </c>
      <c r="AB52" s="195">
        <f t="shared" si="79"/>
        <v>0</v>
      </c>
      <c r="AC52" s="195">
        <f t="shared" si="79"/>
        <v>0</v>
      </c>
      <c r="AD52" s="195">
        <f t="shared" ref="AD52" si="80">AD53</f>
        <v>0</v>
      </c>
      <c r="AE52" s="318">
        <f t="shared" ref="AE52" si="81">AE53</f>
        <v>287</v>
      </c>
      <c r="AF52" s="195">
        <f t="shared" ref="AF52" si="82">AF53</f>
        <v>0</v>
      </c>
      <c r="AG52" s="195">
        <f t="shared" ref="AG52" si="83">AG53</f>
        <v>0</v>
      </c>
      <c r="AH52" s="195">
        <f t="shared" ref="AH52" si="84">AH53</f>
        <v>5.9443916950400002</v>
      </c>
      <c r="AI52" s="195">
        <f t="shared" ref="AI52" si="85">AI53</f>
        <v>0</v>
      </c>
      <c r="AJ52" s="195">
        <f t="shared" ref="AJ52" si="86">AJ53</f>
        <v>0</v>
      </c>
      <c r="AK52" s="195">
        <f t="shared" ref="AK52" si="87">AK53</f>
        <v>0</v>
      </c>
      <c r="AL52" s="195">
        <f t="shared" ref="AL52" si="88">AL53</f>
        <v>0</v>
      </c>
      <c r="AM52" s="318">
        <f t="shared" ref="AM52" si="89">AM53</f>
        <v>287</v>
      </c>
      <c r="AN52" s="195">
        <f t="shared" ref="AN52" si="90">AN53</f>
        <v>0</v>
      </c>
    </row>
    <row r="53" spans="1:40" s="200" customFormat="1" ht="31.5" outlineLevel="1" x14ac:dyDescent="0.25">
      <c r="A53" s="197" t="s">
        <v>118</v>
      </c>
      <c r="B53" s="11" t="s">
        <v>119</v>
      </c>
      <c r="C53" s="198"/>
      <c r="D53" s="198">
        <f>SUM(D54:D58)</f>
        <v>0</v>
      </c>
      <c r="E53" s="198">
        <f t="shared" ref="E53:AC53" si="91">SUM(E54:E58)</f>
        <v>0</v>
      </c>
      <c r="F53" s="198">
        <f t="shared" si="91"/>
        <v>0</v>
      </c>
      <c r="G53" s="198">
        <f t="shared" si="91"/>
        <v>0</v>
      </c>
      <c r="H53" s="198">
        <f t="shared" si="91"/>
        <v>0</v>
      </c>
      <c r="I53" s="198">
        <f t="shared" si="91"/>
        <v>0</v>
      </c>
      <c r="J53" s="198">
        <f t="shared" si="91"/>
        <v>0</v>
      </c>
      <c r="K53" s="198">
        <f t="shared" si="91"/>
        <v>0</v>
      </c>
      <c r="L53" s="198">
        <f t="shared" si="91"/>
        <v>0</v>
      </c>
      <c r="M53" s="198">
        <f t="shared" si="91"/>
        <v>0</v>
      </c>
      <c r="N53" s="198">
        <f t="shared" si="91"/>
        <v>0</v>
      </c>
      <c r="O53" s="198">
        <f t="shared" si="91"/>
        <v>0</v>
      </c>
      <c r="P53" s="198">
        <f t="shared" si="91"/>
        <v>0</v>
      </c>
      <c r="Q53" s="198">
        <f t="shared" si="91"/>
        <v>0</v>
      </c>
      <c r="R53" s="198">
        <f t="shared" si="91"/>
        <v>0</v>
      </c>
      <c r="S53" s="198">
        <f t="shared" si="91"/>
        <v>0</v>
      </c>
      <c r="T53" s="198">
        <f t="shared" si="91"/>
        <v>0</v>
      </c>
      <c r="U53" s="198">
        <f t="shared" si="91"/>
        <v>0</v>
      </c>
      <c r="V53" s="198">
        <f t="shared" si="91"/>
        <v>0</v>
      </c>
      <c r="W53" s="198">
        <f t="shared" si="91"/>
        <v>0</v>
      </c>
      <c r="X53" s="198">
        <f t="shared" si="91"/>
        <v>0</v>
      </c>
      <c r="Y53" s="198">
        <f t="shared" si="91"/>
        <v>0</v>
      </c>
      <c r="Z53" s="198">
        <f t="shared" si="91"/>
        <v>5.9443916950400002</v>
      </c>
      <c r="AA53" s="198">
        <f t="shared" si="91"/>
        <v>0</v>
      </c>
      <c r="AB53" s="198">
        <f t="shared" si="91"/>
        <v>0</v>
      </c>
      <c r="AC53" s="198">
        <f t="shared" si="91"/>
        <v>0</v>
      </c>
      <c r="AD53" s="198">
        <f t="shared" ref="AD53" si="92">SUM(AD54:AD58)</f>
        <v>0</v>
      </c>
      <c r="AE53" s="319">
        <f t="shared" ref="AE53" si="93">SUM(AE54:AE58)</f>
        <v>287</v>
      </c>
      <c r="AF53" s="198">
        <f t="shared" ref="AF53" si="94">SUM(AF54:AF58)</f>
        <v>0</v>
      </c>
      <c r="AG53" s="198">
        <f t="shared" ref="AG53" si="95">SUM(AG54:AG58)</f>
        <v>0</v>
      </c>
      <c r="AH53" s="198">
        <f t="shared" ref="AH53" si="96">SUM(AH54:AH58)</f>
        <v>5.9443916950400002</v>
      </c>
      <c r="AI53" s="198">
        <f t="shared" ref="AI53" si="97">SUM(AI54:AI58)</f>
        <v>0</v>
      </c>
      <c r="AJ53" s="198">
        <f t="shared" ref="AJ53" si="98">SUM(AJ54:AJ58)</f>
        <v>0</v>
      </c>
      <c r="AK53" s="198">
        <f t="shared" ref="AK53" si="99">SUM(AK54:AK58)</f>
        <v>0</v>
      </c>
      <c r="AL53" s="198">
        <f t="shared" ref="AL53" si="100">SUM(AL54:AL58)</f>
        <v>0</v>
      </c>
      <c r="AM53" s="319">
        <f t="shared" ref="AM53" si="101">SUM(AM54:AM58)</f>
        <v>287</v>
      </c>
      <c r="AN53" s="198">
        <f t="shared" ref="AN53" si="102">SUM(AN54:AN58)</f>
        <v>0</v>
      </c>
    </row>
    <row r="54" spans="1:40" s="200" customFormat="1" outlineLevel="1" x14ac:dyDescent="0.25">
      <c r="A54" s="14" t="s">
        <v>701</v>
      </c>
      <c r="B54" s="421" t="s">
        <v>706</v>
      </c>
      <c r="C54" s="390" t="s">
        <v>728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319"/>
      <c r="AF54" s="198"/>
      <c r="AG54" s="198"/>
      <c r="AH54" s="351">
        <f t="shared" ref="AH54:AK58" si="103">E54+L54+S54+Z54</f>
        <v>0</v>
      </c>
      <c r="AI54" s="351">
        <f t="shared" si="103"/>
        <v>0</v>
      </c>
      <c r="AJ54" s="351">
        <f t="shared" si="103"/>
        <v>0</v>
      </c>
      <c r="AK54" s="351">
        <f t="shared" si="103"/>
        <v>0</v>
      </c>
      <c r="AL54" s="351">
        <f t="shared" ref="AL54:AN58" si="104">I54+P54+W54+AD54</f>
        <v>0</v>
      </c>
      <c r="AM54" s="368">
        <f t="shared" si="104"/>
        <v>0</v>
      </c>
      <c r="AN54" s="351">
        <f t="shared" si="104"/>
        <v>0</v>
      </c>
    </row>
    <row r="55" spans="1:40" s="200" customFormat="1" outlineLevel="1" x14ac:dyDescent="0.25">
      <c r="A55" s="14" t="s">
        <v>702</v>
      </c>
      <c r="B55" s="421" t="s">
        <v>706</v>
      </c>
      <c r="C55" s="390" t="s">
        <v>729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>
        <f>Ф4!AK55</f>
        <v>5.9443916950400002</v>
      </c>
      <c r="AA55" s="198">
        <f>Ф4!AL55</f>
        <v>0</v>
      </c>
      <c r="AB55" s="198">
        <f>Ф4!AM55</f>
        <v>0</v>
      </c>
      <c r="AC55" s="198">
        <f>Ф4!AN55</f>
        <v>0</v>
      </c>
      <c r="AD55" s="198">
        <f>Ф4!AO55</f>
        <v>0</v>
      </c>
      <c r="AE55" s="319">
        <f>Ф4!AP55</f>
        <v>287</v>
      </c>
      <c r="AF55" s="198">
        <f>Ф4!AQ55</f>
        <v>0</v>
      </c>
      <c r="AG55" s="198"/>
      <c r="AH55" s="351">
        <f t="shared" si="103"/>
        <v>5.9443916950400002</v>
      </c>
      <c r="AI55" s="351">
        <f t="shared" si="103"/>
        <v>0</v>
      </c>
      <c r="AJ55" s="351">
        <f t="shared" si="103"/>
        <v>0</v>
      </c>
      <c r="AK55" s="351">
        <f t="shared" si="103"/>
        <v>0</v>
      </c>
      <c r="AL55" s="351">
        <f t="shared" si="104"/>
        <v>0</v>
      </c>
      <c r="AM55" s="368">
        <f t="shared" si="104"/>
        <v>287</v>
      </c>
      <c r="AN55" s="351">
        <f t="shared" si="104"/>
        <v>0</v>
      </c>
    </row>
    <row r="56" spans="1:40" s="200" customFormat="1" outlineLevel="1" x14ac:dyDescent="0.25">
      <c r="A56" s="14" t="s">
        <v>703</v>
      </c>
      <c r="B56" s="421" t="s">
        <v>706</v>
      </c>
      <c r="C56" s="390" t="s">
        <v>730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351">
        <f t="shared" si="103"/>
        <v>0</v>
      </c>
      <c r="AI56" s="351">
        <f t="shared" si="103"/>
        <v>0</v>
      </c>
      <c r="AJ56" s="351">
        <f t="shared" si="103"/>
        <v>0</v>
      </c>
      <c r="AK56" s="351">
        <f t="shared" si="103"/>
        <v>0</v>
      </c>
      <c r="AL56" s="351">
        <f t="shared" si="104"/>
        <v>0</v>
      </c>
      <c r="AM56" s="368">
        <f t="shared" si="104"/>
        <v>0</v>
      </c>
      <c r="AN56" s="351">
        <f t="shared" si="104"/>
        <v>0</v>
      </c>
    </row>
    <row r="57" spans="1:40" s="200" customFormat="1" outlineLevel="1" x14ac:dyDescent="0.25">
      <c r="A57" s="14" t="s">
        <v>704</v>
      </c>
      <c r="B57" s="421" t="s">
        <v>706</v>
      </c>
      <c r="C57" s="390" t="s">
        <v>731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351">
        <f t="shared" si="103"/>
        <v>0</v>
      </c>
      <c r="AI57" s="351">
        <f t="shared" si="103"/>
        <v>0</v>
      </c>
      <c r="AJ57" s="351">
        <f t="shared" si="103"/>
        <v>0</v>
      </c>
      <c r="AK57" s="351">
        <f t="shared" si="103"/>
        <v>0</v>
      </c>
      <c r="AL57" s="351">
        <f t="shared" si="104"/>
        <v>0</v>
      </c>
      <c r="AM57" s="368">
        <f t="shared" si="104"/>
        <v>0</v>
      </c>
      <c r="AN57" s="351">
        <f t="shared" si="104"/>
        <v>0</v>
      </c>
    </row>
    <row r="58" spans="1:40" s="200" customFormat="1" outlineLevel="1" x14ac:dyDescent="0.25">
      <c r="A58" s="14" t="s">
        <v>705</v>
      </c>
      <c r="B58" s="421" t="s">
        <v>706</v>
      </c>
      <c r="C58" s="390" t="s">
        <v>732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351">
        <f t="shared" si="103"/>
        <v>0</v>
      </c>
      <c r="AI58" s="351">
        <f t="shared" si="103"/>
        <v>0</v>
      </c>
      <c r="AJ58" s="351">
        <f t="shared" si="103"/>
        <v>0</v>
      </c>
      <c r="AK58" s="351">
        <f t="shared" si="103"/>
        <v>0</v>
      </c>
      <c r="AL58" s="351">
        <f t="shared" si="104"/>
        <v>0</v>
      </c>
      <c r="AM58" s="368">
        <f t="shared" si="104"/>
        <v>0</v>
      </c>
      <c r="AN58" s="351">
        <f t="shared" si="104"/>
        <v>0</v>
      </c>
    </row>
    <row r="59" spans="1:40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319"/>
      <c r="AN59" s="198"/>
    </row>
    <row r="60" spans="1:40" s="200" customFormat="1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319"/>
      <c r="AN60" s="198"/>
    </row>
    <row r="61" spans="1:40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319"/>
      <c r="AN61" s="198"/>
    </row>
    <row r="62" spans="1:40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AN62" si="105">E63</f>
        <v>0</v>
      </c>
      <c r="F62" s="198">
        <f t="shared" si="105"/>
        <v>0</v>
      </c>
      <c r="G62" s="198">
        <f t="shared" si="105"/>
        <v>0</v>
      </c>
      <c r="H62" s="198">
        <f t="shared" si="105"/>
        <v>0</v>
      </c>
      <c r="I62" s="198">
        <f t="shared" si="105"/>
        <v>0</v>
      </c>
      <c r="J62" s="198">
        <f t="shared" si="105"/>
        <v>0</v>
      </c>
      <c r="K62" s="198">
        <f t="shared" si="105"/>
        <v>0</v>
      </c>
      <c r="L62" s="198">
        <f t="shared" si="105"/>
        <v>0</v>
      </c>
      <c r="M62" s="198">
        <f t="shared" si="105"/>
        <v>0</v>
      </c>
      <c r="N62" s="198">
        <f t="shared" si="105"/>
        <v>0</v>
      </c>
      <c r="O62" s="198">
        <f t="shared" si="105"/>
        <v>0</v>
      </c>
      <c r="P62" s="198">
        <f t="shared" si="105"/>
        <v>0</v>
      </c>
      <c r="Q62" s="198">
        <f t="shared" si="105"/>
        <v>0</v>
      </c>
      <c r="R62" s="198">
        <f t="shared" si="105"/>
        <v>0</v>
      </c>
      <c r="S62" s="198">
        <f t="shared" si="105"/>
        <v>0</v>
      </c>
      <c r="T62" s="198">
        <f t="shared" si="105"/>
        <v>0</v>
      </c>
      <c r="U62" s="198">
        <f t="shared" si="105"/>
        <v>0</v>
      </c>
      <c r="V62" s="198">
        <f t="shared" si="105"/>
        <v>0</v>
      </c>
      <c r="W62" s="198">
        <f t="shared" si="105"/>
        <v>0</v>
      </c>
      <c r="X62" s="198">
        <f t="shared" si="105"/>
        <v>0</v>
      </c>
      <c r="Y62" s="198">
        <f t="shared" si="105"/>
        <v>0</v>
      </c>
      <c r="Z62" s="198">
        <f t="shared" si="105"/>
        <v>0</v>
      </c>
      <c r="AA62" s="198">
        <f t="shared" si="105"/>
        <v>0</v>
      </c>
      <c r="AB62" s="198">
        <f t="shared" si="105"/>
        <v>0</v>
      </c>
      <c r="AC62" s="198">
        <f t="shared" si="105"/>
        <v>0</v>
      </c>
      <c r="AD62" s="198">
        <f t="shared" si="105"/>
        <v>0</v>
      </c>
      <c r="AE62" s="198"/>
      <c r="AF62" s="198">
        <f t="shared" si="105"/>
        <v>0</v>
      </c>
      <c r="AG62" s="198">
        <f t="shared" si="105"/>
        <v>0</v>
      </c>
      <c r="AH62" s="198">
        <f t="shared" si="105"/>
        <v>0</v>
      </c>
      <c r="AI62" s="198">
        <f t="shared" si="105"/>
        <v>0</v>
      </c>
      <c r="AJ62" s="198">
        <f t="shared" si="105"/>
        <v>0</v>
      </c>
      <c r="AK62" s="198">
        <f t="shared" si="105"/>
        <v>0</v>
      </c>
      <c r="AL62" s="198">
        <f t="shared" si="105"/>
        <v>0</v>
      </c>
      <c r="AM62" s="319"/>
      <c r="AN62" s="198">
        <f t="shared" si="105"/>
        <v>0</v>
      </c>
    </row>
    <row r="63" spans="1:40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68"/>
      <c r="AN63" s="351"/>
    </row>
    <row r="64" spans="1:40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464"/>
    </row>
    <row r="65" spans="1:40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  <c r="AM65" s="328"/>
    </row>
    <row r="66" spans="1:40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AM66" s="328"/>
    </row>
    <row r="67" spans="1:40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  <c r="AM67" s="329"/>
    </row>
    <row r="68" spans="1:40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  <c r="AM68" s="328"/>
    </row>
    <row r="69" spans="1:40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  <c r="AM69" s="328"/>
    </row>
    <row r="70" spans="1:40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  <c r="AM70" s="330"/>
    </row>
    <row r="71" spans="1:40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  <c r="AM71" s="329"/>
    </row>
    <row r="72" spans="1:40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  <c r="AM72" s="329"/>
    </row>
    <row r="73" spans="1:40" s="310" customFormat="1" collapsed="1" x14ac:dyDescent="0.25">
      <c r="A73" s="20" t="s">
        <v>528</v>
      </c>
      <c r="B73" s="265" t="s">
        <v>529</v>
      </c>
      <c r="C73" s="307"/>
      <c r="D73" s="461">
        <f>SUM(D74:D75)</f>
        <v>0</v>
      </c>
      <c r="E73" s="461">
        <f t="shared" ref="E73:AC73" si="106">SUM(E74:E75)</f>
        <v>0</v>
      </c>
      <c r="F73" s="461">
        <f t="shared" si="106"/>
        <v>0</v>
      </c>
      <c r="G73" s="461">
        <f t="shared" si="106"/>
        <v>0</v>
      </c>
      <c r="H73" s="461">
        <f t="shared" si="106"/>
        <v>0</v>
      </c>
      <c r="I73" s="461">
        <f t="shared" si="106"/>
        <v>0</v>
      </c>
      <c r="J73" s="461">
        <f t="shared" si="106"/>
        <v>0</v>
      </c>
      <c r="K73" s="461">
        <f t="shared" si="106"/>
        <v>0</v>
      </c>
      <c r="L73" s="461">
        <f t="shared" si="106"/>
        <v>0</v>
      </c>
      <c r="M73" s="461">
        <f t="shared" si="106"/>
        <v>0</v>
      </c>
      <c r="N73" s="461">
        <f t="shared" si="106"/>
        <v>0</v>
      </c>
      <c r="O73" s="461">
        <f t="shared" si="106"/>
        <v>0</v>
      </c>
      <c r="P73" s="461">
        <f t="shared" si="106"/>
        <v>0</v>
      </c>
      <c r="Q73" s="461">
        <f t="shared" si="106"/>
        <v>0</v>
      </c>
      <c r="R73" s="461">
        <f t="shared" si="106"/>
        <v>0</v>
      </c>
      <c r="S73" s="461">
        <f t="shared" si="106"/>
        <v>0</v>
      </c>
      <c r="T73" s="461">
        <f t="shared" si="106"/>
        <v>0</v>
      </c>
      <c r="U73" s="461">
        <f t="shared" si="106"/>
        <v>0</v>
      </c>
      <c r="V73" s="461">
        <f t="shared" si="106"/>
        <v>0</v>
      </c>
      <c r="W73" s="461">
        <f t="shared" si="106"/>
        <v>0</v>
      </c>
      <c r="X73" s="461">
        <f t="shared" si="106"/>
        <v>0</v>
      </c>
      <c r="Y73" s="461">
        <f t="shared" si="106"/>
        <v>0</v>
      </c>
      <c r="Z73" s="461">
        <f t="shared" si="106"/>
        <v>0</v>
      </c>
      <c r="AA73" s="461">
        <f t="shared" si="106"/>
        <v>0</v>
      </c>
      <c r="AB73" s="461">
        <f t="shared" si="106"/>
        <v>0</v>
      </c>
      <c r="AC73" s="461">
        <f t="shared" si="106"/>
        <v>0</v>
      </c>
      <c r="AD73" s="461">
        <f t="shared" ref="AD73" si="107">SUM(AD74:AD75)</f>
        <v>0</v>
      </c>
      <c r="AE73" s="461">
        <f t="shared" ref="AE73" si="108">SUM(AE74:AE75)</f>
        <v>0</v>
      </c>
      <c r="AF73" s="461">
        <f t="shared" ref="AF73" si="109">SUM(AF74:AF75)</f>
        <v>0</v>
      </c>
      <c r="AG73" s="461">
        <f t="shared" ref="AG73" si="110">SUM(AG74:AG75)</f>
        <v>0</v>
      </c>
      <c r="AH73" s="461">
        <f t="shared" ref="AH73" si="111">SUM(AH74:AH75)</f>
        <v>0</v>
      </c>
      <c r="AI73" s="461">
        <f t="shared" ref="AI73" si="112">SUM(AI74:AI75)</f>
        <v>0</v>
      </c>
      <c r="AJ73" s="461">
        <f t="shared" ref="AJ73" si="113">SUM(AJ74:AJ75)</f>
        <v>0</v>
      </c>
      <c r="AK73" s="461">
        <f t="shared" ref="AK73" si="114">SUM(AK74:AK75)</f>
        <v>0</v>
      </c>
      <c r="AL73" s="461">
        <f t="shared" ref="AL73" si="115">SUM(AL74:AL75)</f>
        <v>0</v>
      </c>
      <c r="AM73" s="331">
        <f t="shared" ref="AM73" si="116">SUM(AM74:AM75)</f>
        <v>0</v>
      </c>
      <c r="AN73" s="461">
        <f t="shared" ref="AN73" si="117">SUM(AN74:AN75)</f>
        <v>0</v>
      </c>
    </row>
    <row r="74" spans="1:40" s="345" customFormat="1" x14ac:dyDescent="0.25">
      <c r="A74" s="341" t="s">
        <v>530</v>
      </c>
      <c r="B74" s="419" t="s">
        <v>708</v>
      </c>
      <c r="C74" s="390" t="s">
        <v>733</v>
      </c>
      <c r="D74" s="358"/>
      <c r="E74" s="369"/>
      <c r="F74" s="369"/>
      <c r="G74" s="358"/>
      <c r="H74" s="358"/>
      <c r="I74" s="358"/>
      <c r="J74" s="363"/>
      <c r="K74" s="358"/>
      <c r="L74" s="358"/>
      <c r="M74" s="363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1">
        <f t="shared" ref="AH74:AL75" si="118">E74+L74+S74+Z74</f>
        <v>0</v>
      </c>
      <c r="AI74" s="351">
        <f t="shared" si="118"/>
        <v>0</v>
      </c>
      <c r="AJ74" s="351">
        <f t="shared" si="118"/>
        <v>0</v>
      </c>
      <c r="AK74" s="351">
        <f t="shared" si="118"/>
        <v>0</v>
      </c>
      <c r="AL74" s="351">
        <f t="shared" si="118"/>
        <v>0</v>
      </c>
      <c r="AM74" s="368">
        <f t="shared" ref="AM74:AN75" si="119">J74+Q74+X74+AE74</f>
        <v>0</v>
      </c>
      <c r="AN74" s="351">
        <f t="shared" si="119"/>
        <v>0</v>
      </c>
    </row>
    <row r="75" spans="1:40" s="345" customFormat="1" x14ac:dyDescent="0.25">
      <c r="A75" s="341" t="s">
        <v>707</v>
      </c>
      <c r="B75" s="419" t="s">
        <v>709</v>
      </c>
      <c r="C75" s="390" t="s">
        <v>734</v>
      </c>
      <c r="D75" s="358"/>
      <c r="E75" s="369"/>
      <c r="F75" s="369"/>
      <c r="G75" s="358"/>
      <c r="H75" s="358"/>
      <c r="I75" s="358"/>
      <c r="J75" s="363"/>
      <c r="K75" s="358"/>
      <c r="L75" s="358"/>
      <c r="M75" s="363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1">
        <f t="shared" si="118"/>
        <v>0</v>
      </c>
      <c r="AI75" s="351">
        <f t="shared" si="118"/>
        <v>0</v>
      </c>
      <c r="AJ75" s="351">
        <f t="shared" si="118"/>
        <v>0</v>
      </c>
      <c r="AK75" s="351">
        <f t="shared" si="118"/>
        <v>0</v>
      </c>
      <c r="AL75" s="351">
        <f t="shared" si="118"/>
        <v>0</v>
      </c>
      <c r="AM75" s="368">
        <f t="shared" si="119"/>
        <v>0</v>
      </c>
      <c r="AN75" s="351">
        <f t="shared" si="119"/>
        <v>0</v>
      </c>
    </row>
    <row r="78" spans="1:40" ht="18.75" x14ac:dyDescent="0.25">
      <c r="B78" s="278" t="s">
        <v>77</v>
      </c>
      <c r="C78" s="279"/>
      <c r="D78" s="279"/>
      <c r="E78" s="279" t="s">
        <v>668</v>
      </c>
    </row>
    <row r="79" spans="1:40" ht="18.75" x14ac:dyDescent="0.25">
      <c r="B79" s="278"/>
      <c r="C79" s="279"/>
      <c r="D79" s="279"/>
      <c r="E79" s="279"/>
    </row>
    <row r="80" spans="1:40" ht="18.75" x14ac:dyDescent="0.25">
      <c r="B80" s="278"/>
      <c r="C80" s="279"/>
      <c r="D80" s="279"/>
      <c r="E80" s="279"/>
    </row>
    <row r="83" spans="1:34" s="41" customFormat="1" x14ac:dyDescent="0.25">
      <c r="A83" s="613" t="s">
        <v>207</v>
      </c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136"/>
      <c r="R83" s="426"/>
      <c r="S83" s="426"/>
      <c r="T83" s="426"/>
      <c r="U83" s="426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</row>
    <row r="84" spans="1:34" s="41" customFormat="1" x14ac:dyDescent="0.25">
      <c r="A84" s="614" t="s">
        <v>208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425"/>
      <c r="S84" s="425"/>
      <c r="T84" s="425"/>
      <c r="U84" s="425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</row>
    <row r="85" spans="1:34" s="41" customFormat="1" x14ac:dyDescent="0.25">
      <c r="A85" s="614" t="s">
        <v>209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139"/>
      <c r="R85" s="425"/>
      <c r="S85" s="425"/>
      <c r="T85" s="425"/>
      <c r="U85" s="425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</row>
    <row r="86" spans="1:34" s="41" customFormat="1" x14ac:dyDescent="0.25">
      <c r="A86" s="614" t="s">
        <v>210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139"/>
      <c r="R86" s="425"/>
      <c r="S86" s="425"/>
      <c r="T86" s="425"/>
      <c r="U86" s="425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</row>
  </sheetData>
  <mergeCells count="26">
    <mergeCell ref="A83:P83"/>
    <mergeCell ref="A84:P84"/>
    <mergeCell ref="A85:P85"/>
    <mergeCell ref="A86:P86"/>
    <mergeCell ref="AG13:AN13"/>
    <mergeCell ref="E14:J14"/>
    <mergeCell ref="L14:Q14"/>
    <mergeCell ref="S14:X14"/>
    <mergeCell ref="Z14:AF14"/>
    <mergeCell ref="AH14:AN14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9:AN9"/>
    <mergeCell ref="A1:AN1"/>
    <mergeCell ref="A2:AN2"/>
    <mergeCell ref="A4:AN4"/>
    <mergeCell ref="A5:AN5"/>
    <mergeCell ref="A7:AN7"/>
  </mergeCells>
  <pageMargins left="0.7" right="0.7" top="0.75" bottom="0.75" header="0.3" footer="0.3"/>
  <pageSetup paperSize="8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6"/>
  <sheetViews>
    <sheetView topLeftCell="A39" zoomScale="71" zoomScaleNormal="71" workbookViewId="0">
      <selection activeCell="A9" sqref="A9:AN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50" bestFit="1" customWidth="1"/>
    <col min="6" max="6" width="6.7109375" style="50" bestFit="1" customWidth="1"/>
    <col min="7" max="9" width="6.7109375" bestFit="1" customWidth="1"/>
    <col min="10" max="10" width="6.7109375" style="55" bestFit="1" customWidth="1"/>
    <col min="11" max="11" width="18.85546875" customWidth="1"/>
    <col min="12" max="12" width="7.42578125" bestFit="1" customWidth="1"/>
    <col min="13" max="13" width="6.7109375" style="55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10.42578125" customWidth="1"/>
    <col min="27" max="28" width="6.7109375" bestFit="1" customWidth="1"/>
    <col min="29" max="29" width="9.28515625" customWidth="1"/>
    <col min="30" max="30" width="6.7109375" bestFit="1" customWidth="1"/>
    <col min="31" max="31" width="6.7109375" customWidth="1"/>
    <col min="32" max="32" width="6.7109375" bestFit="1" customWidth="1"/>
    <col min="33" max="33" width="19" customWidth="1"/>
    <col min="34" max="34" width="9.42578125" customWidth="1"/>
    <col min="35" max="36" width="6.7109375" bestFit="1" customWidth="1"/>
    <col min="37" max="37" width="8.28515625" customWidth="1"/>
    <col min="38" max="38" width="6.7109375" bestFit="1" customWidth="1"/>
    <col min="39" max="39" width="6.7109375" customWidth="1"/>
    <col min="40" max="40" width="7.5703125" bestFit="1" customWidth="1"/>
  </cols>
  <sheetData>
    <row r="1" spans="1:40" s="41" customFormat="1" ht="18.75" x14ac:dyDescent="0.3">
      <c r="A1" s="647" t="s">
        <v>313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</row>
    <row r="2" spans="1:40" s="41" customFormat="1" ht="18.75" x14ac:dyDescent="0.3">
      <c r="A2" s="605" t="s">
        <v>770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</row>
    <row r="3" spans="1:40" s="41" customFormat="1" x14ac:dyDescent="0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</row>
    <row r="4" spans="1:40" s="41" customFormat="1" ht="18.75" x14ac:dyDescent="0.25">
      <c r="A4" s="603" t="s">
        <v>123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</row>
    <row r="5" spans="1:40" s="41" customFormat="1" x14ac:dyDescent="0.25">
      <c r="A5" s="606" t="s">
        <v>124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</row>
    <row r="6" spans="1:40" s="41" customFormat="1" x14ac:dyDescent="0.25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</row>
    <row r="7" spans="1:40" s="41" customFormat="1" x14ac:dyDescent="0.25">
      <c r="A7" s="601" t="s">
        <v>768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</row>
    <row r="8" spans="1:40" s="41" customFormat="1" ht="18.75" x14ac:dyDescent="0.3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</row>
    <row r="9" spans="1:40" s="41" customFormat="1" ht="18.75" x14ac:dyDescent="0.25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</row>
    <row r="10" spans="1:40" s="41" customFormat="1" x14ac:dyDescent="0.25">
      <c r="A10" s="642" t="s">
        <v>226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</row>
    <row r="11" spans="1:40" s="41" customFormat="1" x14ac:dyDescent="0.25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</row>
    <row r="12" spans="1:40" s="41" customFormat="1" x14ac:dyDescent="0.25">
      <c r="A12" s="644" t="s">
        <v>4</v>
      </c>
      <c r="B12" s="644" t="s">
        <v>5</v>
      </c>
      <c r="C12" s="644" t="s">
        <v>6</v>
      </c>
      <c r="D12" s="645" t="s">
        <v>314</v>
      </c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</row>
    <row r="13" spans="1:40" s="41" customFormat="1" x14ac:dyDescent="0.25">
      <c r="A13" s="644"/>
      <c r="B13" s="644"/>
      <c r="C13" s="644"/>
      <c r="D13" s="645" t="s">
        <v>315</v>
      </c>
      <c r="E13" s="645"/>
      <c r="F13" s="645"/>
      <c r="G13" s="645"/>
      <c r="H13" s="645"/>
      <c r="I13" s="645"/>
      <c r="J13" s="645"/>
      <c r="K13" s="645" t="s">
        <v>316</v>
      </c>
      <c r="L13" s="645"/>
      <c r="M13" s="645"/>
      <c r="N13" s="645"/>
      <c r="O13" s="645"/>
      <c r="P13" s="645"/>
      <c r="Q13" s="645"/>
      <c r="R13" s="645" t="s">
        <v>317</v>
      </c>
      <c r="S13" s="645"/>
      <c r="T13" s="645"/>
      <c r="U13" s="645"/>
      <c r="V13" s="645"/>
      <c r="W13" s="645"/>
      <c r="X13" s="645"/>
      <c r="Y13" s="645" t="s">
        <v>318</v>
      </c>
      <c r="Z13" s="645"/>
      <c r="AA13" s="645"/>
      <c r="AB13" s="645"/>
      <c r="AC13" s="645"/>
      <c r="AD13" s="645"/>
      <c r="AE13" s="645"/>
      <c r="AF13" s="645"/>
      <c r="AG13" s="644" t="s">
        <v>319</v>
      </c>
      <c r="AH13" s="644"/>
      <c r="AI13" s="644"/>
      <c r="AJ13" s="644"/>
      <c r="AK13" s="644"/>
      <c r="AL13" s="644"/>
      <c r="AM13" s="644"/>
      <c r="AN13" s="644"/>
    </row>
    <row r="14" spans="1:40" s="41" customFormat="1" ht="31.5" x14ac:dyDescent="0.25">
      <c r="A14" s="644"/>
      <c r="B14" s="644"/>
      <c r="C14" s="644"/>
      <c r="D14" s="431" t="s">
        <v>234</v>
      </c>
      <c r="E14" s="645" t="s">
        <v>235</v>
      </c>
      <c r="F14" s="645"/>
      <c r="G14" s="645"/>
      <c r="H14" s="645"/>
      <c r="I14" s="645"/>
      <c r="J14" s="645"/>
      <c r="K14" s="431" t="s">
        <v>234</v>
      </c>
      <c r="L14" s="644" t="s">
        <v>235</v>
      </c>
      <c r="M14" s="644"/>
      <c r="N14" s="644"/>
      <c r="O14" s="644"/>
      <c r="P14" s="644"/>
      <c r="Q14" s="644"/>
      <c r="R14" s="431" t="s">
        <v>234</v>
      </c>
      <c r="S14" s="644" t="s">
        <v>235</v>
      </c>
      <c r="T14" s="644"/>
      <c r="U14" s="644"/>
      <c r="V14" s="644"/>
      <c r="W14" s="644"/>
      <c r="X14" s="644"/>
      <c r="Y14" s="431" t="s">
        <v>234</v>
      </c>
      <c r="Z14" s="644" t="s">
        <v>235</v>
      </c>
      <c r="AA14" s="644"/>
      <c r="AB14" s="644"/>
      <c r="AC14" s="644"/>
      <c r="AD14" s="644"/>
      <c r="AE14" s="644"/>
      <c r="AF14" s="644"/>
      <c r="AG14" s="431" t="s">
        <v>234</v>
      </c>
      <c r="AH14" s="644" t="s">
        <v>235</v>
      </c>
      <c r="AI14" s="644"/>
      <c r="AJ14" s="644"/>
      <c r="AK14" s="644"/>
      <c r="AL14" s="644"/>
      <c r="AM14" s="644"/>
      <c r="AN14" s="644"/>
    </row>
    <row r="15" spans="1:40" s="41" customFormat="1" ht="66" x14ac:dyDescent="0.25">
      <c r="A15" s="644"/>
      <c r="B15" s="644"/>
      <c r="C15" s="644"/>
      <c r="D15" s="428" t="s">
        <v>236</v>
      </c>
      <c r="E15" s="428" t="s">
        <v>236</v>
      </c>
      <c r="F15" s="429" t="s">
        <v>237</v>
      </c>
      <c r="G15" s="429" t="s">
        <v>238</v>
      </c>
      <c r="H15" s="429" t="s">
        <v>239</v>
      </c>
      <c r="I15" s="429" t="s">
        <v>240</v>
      </c>
      <c r="J15" s="429" t="s">
        <v>241</v>
      </c>
      <c r="K15" s="428" t="s">
        <v>236</v>
      </c>
      <c r="L15" s="428" t="s">
        <v>236</v>
      </c>
      <c r="M15" s="429" t="s">
        <v>237</v>
      </c>
      <c r="N15" s="429" t="s">
        <v>238</v>
      </c>
      <c r="O15" s="429" t="s">
        <v>239</v>
      </c>
      <c r="P15" s="429" t="s">
        <v>240</v>
      </c>
      <c r="Q15" s="429" t="s">
        <v>241</v>
      </c>
      <c r="R15" s="428" t="s">
        <v>236</v>
      </c>
      <c r="S15" s="428" t="s">
        <v>236</v>
      </c>
      <c r="T15" s="429" t="s">
        <v>237</v>
      </c>
      <c r="U15" s="429" t="s">
        <v>238</v>
      </c>
      <c r="V15" s="429" t="s">
        <v>239</v>
      </c>
      <c r="W15" s="429" t="s">
        <v>240</v>
      </c>
      <c r="X15" s="429" t="s">
        <v>241</v>
      </c>
      <c r="Y15" s="428" t="s">
        <v>236</v>
      </c>
      <c r="Z15" s="428" t="s">
        <v>236</v>
      </c>
      <c r="AA15" s="429" t="s">
        <v>237</v>
      </c>
      <c r="AB15" s="429" t="s">
        <v>238</v>
      </c>
      <c r="AC15" s="429" t="s">
        <v>239</v>
      </c>
      <c r="AD15" s="429" t="s">
        <v>240</v>
      </c>
      <c r="AE15" s="429" t="s">
        <v>572</v>
      </c>
      <c r="AF15" s="429" t="s">
        <v>573</v>
      </c>
      <c r="AG15" s="428" t="s">
        <v>236</v>
      </c>
      <c r="AH15" s="428" t="s">
        <v>236</v>
      </c>
      <c r="AI15" s="429" t="s">
        <v>237</v>
      </c>
      <c r="AJ15" s="429" t="s">
        <v>238</v>
      </c>
      <c r="AK15" s="429" t="s">
        <v>239</v>
      </c>
      <c r="AL15" s="429" t="s">
        <v>240</v>
      </c>
      <c r="AM15" s="429" t="s">
        <v>572</v>
      </c>
      <c r="AN15" s="429" t="s">
        <v>573</v>
      </c>
    </row>
    <row r="16" spans="1:40" s="41" customFormat="1" x14ac:dyDescent="0.25">
      <c r="A16" s="430">
        <v>1</v>
      </c>
      <c r="B16" s="430">
        <v>2</v>
      </c>
      <c r="C16" s="430">
        <v>3</v>
      </c>
      <c r="D16" s="178" t="s">
        <v>320</v>
      </c>
      <c r="E16" s="178" t="s">
        <v>321</v>
      </c>
      <c r="F16" s="178" t="s">
        <v>322</v>
      </c>
      <c r="G16" s="178" t="s">
        <v>323</v>
      </c>
      <c r="H16" s="178" t="s">
        <v>324</v>
      </c>
      <c r="I16" s="178" t="s">
        <v>325</v>
      </c>
      <c r="J16" s="178" t="s">
        <v>326</v>
      </c>
      <c r="K16" s="178" t="s">
        <v>327</v>
      </c>
      <c r="L16" s="178" t="s">
        <v>328</v>
      </c>
      <c r="M16" s="178" t="s">
        <v>329</v>
      </c>
      <c r="N16" s="178" t="s">
        <v>330</v>
      </c>
      <c r="O16" s="178" t="s">
        <v>331</v>
      </c>
      <c r="P16" s="178" t="s">
        <v>332</v>
      </c>
      <c r="Q16" s="178" t="s">
        <v>333</v>
      </c>
      <c r="R16" s="178" t="s">
        <v>334</v>
      </c>
      <c r="S16" s="178" t="s">
        <v>335</v>
      </c>
      <c r="T16" s="178" t="s">
        <v>336</v>
      </c>
      <c r="U16" s="178" t="s">
        <v>337</v>
      </c>
      <c r="V16" s="178" t="s">
        <v>338</v>
      </c>
      <c r="W16" s="178" t="s">
        <v>339</v>
      </c>
      <c r="X16" s="178" t="s">
        <v>340</v>
      </c>
      <c r="Y16" s="178" t="s">
        <v>341</v>
      </c>
      <c r="Z16" s="178" t="s">
        <v>342</v>
      </c>
      <c r="AA16" s="178" t="s">
        <v>343</v>
      </c>
      <c r="AB16" s="178" t="s">
        <v>344</v>
      </c>
      <c r="AC16" s="178" t="s">
        <v>345</v>
      </c>
      <c r="AD16" s="178" t="s">
        <v>346</v>
      </c>
      <c r="AE16" s="178"/>
      <c r="AF16" s="178" t="s">
        <v>347</v>
      </c>
      <c r="AG16" s="178" t="s">
        <v>348</v>
      </c>
      <c r="AH16" s="178" t="s">
        <v>349</v>
      </c>
      <c r="AI16" s="178" t="s">
        <v>350</v>
      </c>
      <c r="AJ16" s="178" t="s">
        <v>351</v>
      </c>
      <c r="AK16" s="178" t="s">
        <v>312</v>
      </c>
      <c r="AL16" s="178" t="s">
        <v>352</v>
      </c>
      <c r="AM16" s="178"/>
      <c r="AN16" s="178" t="s">
        <v>353</v>
      </c>
    </row>
    <row r="17" spans="1:40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0</v>
      </c>
      <c r="E17" s="184">
        <f t="shared" ref="E17:AN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  <c r="L17" s="184">
        <f t="shared" si="0"/>
        <v>0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184">
        <f t="shared" si="0"/>
        <v>0</v>
      </c>
      <c r="Q17" s="184">
        <f t="shared" si="0"/>
        <v>0</v>
      </c>
      <c r="R17" s="184">
        <f t="shared" si="0"/>
        <v>0</v>
      </c>
      <c r="S17" s="184">
        <f t="shared" si="0"/>
        <v>0</v>
      </c>
      <c r="T17" s="184">
        <f t="shared" si="0"/>
        <v>0</v>
      </c>
      <c r="U17" s="184">
        <f t="shared" si="0"/>
        <v>0</v>
      </c>
      <c r="V17" s="184">
        <f t="shared" si="0"/>
        <v>0</v>
      </c>
      <c r="W17" s="184">
        <f t="shared" si="0"/>
        <v>0</v>
      </c>
      <c r="X17" s="184">
        <f t="shared" si="0"/>
        <v>0</v>
      </c>
      <c r="Y17" s="184">
        <f t="shared" si="0"/>
        <v>0</v>
      </c>
      <c r="Z17" s="184">
        <f t="shared" si="0"/>
        <v>11.82594441127852</v>
      </c>
      <c r="AA17" s="184">
        <f t="shared" si="0"/>
        <v>0</v>
      </c>
      <c r="AB17" s="184">
        <f t="shared" si="0"/>
        <v>0</v>
      </c>
      <c r="AC17" s="184">
        <f t="shared" si="0"/>
        <v>1.5659999999999998</v>
      </c>
      <c r="AD17" s="184">
        <f t="shared" si="0"/>
        <v>0</v>
      </c>
      <c r="AE17" s="465">
        <f t="shared" si="0"/>
        <v>171</v>
      </c>
      <c r="AF17" s="465">
        <f t="shared" si="0"/>
        <v>1</v>
      </c>
      <c r="AG17" s="184">
        <f t="shared" si="0"/>
        <v>0</v>
      </c>
      <c r="AH17" s="184">
        <f t="shared" si="0"/>
        <v>11.82594441127852</v>
      </c>
      <c r="AI17" s="184">
        <f t="shared" si="0"/>
        <v>0</v>
      </c>
      <c r="AJ17" s="184">
        <f t="shared" si="0"/>
        <v>0</v>
      </c>
      <c r="AK17" s="184">
        <f t="shared" si="0"/>
        <v>1.5659999999999998</v>
      </c>
      <c r="AL17" s="184">
        <f t="shared" si="0"/>
        <v>0</v>
      </c>
      <c r="AM17" s="320">
        <f t="shared" si="0"/>
        <v>171</v>
      </c>
      <c r="AN17" s="320">
        <f t="shared" si="0"/>
        <v>1</v>
      </c>
    </row>
    <row r="18" spans="1:40" s="189" customFormat="1" x14ac:dyDescent="0.25">
      <c r="A18" s="186" t="s">
        <v>81</v>
      </c>
      <c r="B18" s="9" t="s">
        <v>36</v>
      </c>
      <c r="C18" s="187">
        <v>0</v>
      </c>
      <c r="D18" s="187">
        <f>D38+D73</f>
        <v>0</v>
      </c>
      <c r="E18" s="187">
        <f t="shared" ref="E18:AN18" si="1">E38+E73</f>
        <v>0</v>
      </c>
      <c r="F18" s="187">
        <f t="shared" si="1"/>
        <v>0</v>
      </c>
      <c r="G18" s="187">
        <f t="shared" si="1"/>
        <v>0</v>
      </c>
      <c r="H18" s="187">
        <f t="shared" si="1"/>
        <v>0</v>
      </c>
      <c r="I18" s="187">
        <f t="shared" si="1"/>
        <v>0</v>
      </c>
      <c r="J18" s="187">
        <f t="shared" si="1"/>
        <v>0</v>
      </c>
      <c r="K18" s="187">
        <f t="shared" si="1"/>
        <v>0</v>
      </c>
      <c r="L18" s="187">
        <f t="shared" si="1"/>
        <v>0</v>
      </c>
      <c r="M18" s="187">
        <f t="shared" si="1"/>
        <v>0</v>
      </c>
      <c r="N18" s="187">
        <f t="shared" si="1"/>
        <v>0</v>
      </c>
      <c r="O18" s="187">
        <f t="shared" si="1"/>
        <v>0</v>
      </c>
      <c r="P18" s="187">
        <f t="shared" si="1"/>
        <v>0</v>
      </c>
      <c r="Q18" s="187">
        <f t="shared" si="1"/>
        <v>0</v>
      </c>
      <c r="R18" s="187">
        <f t="shared" si="1"/>
        <v>0</v>
      </c>
      <c r="S18" s="187">
        <f t="shared" si="1"/>
        <v>0</v>
      </c>
      <c r="T18" s="187">
        <f t="shared" si="1"/>
        <v>0</v>
      </c>
      <c r="U18" s="187">
        <f t="shared" si="1"/>
        <v>0</v>
      </c>
      <c r="V18" s="187">
        <f t="shared" si="1"/>
        <v>0</v>
      </c>
      <c r="W18" s="187">
        <f t="shared" si="1"/>
        <v>0</v>
      </c>
      <c r="X18" s="187">
        <f t="shared" si="1"/>
        <v>0</v>
      </c>
      <c r="Y18" s="187">
        <f t="shared" si="1"/>
        <v>0</v>
      </c>
      <c r="Z18" s="187">
        <f t="shared" si="1"/>
        <v>11.82594441127852</v>
      </c>
      <c r="AA18" s="187">
        <f t="shared" si="1"/>
        <v>0</v>
      </c>
      <c r="AB18" s="187">
        <f t="shared" si="1"/>
        <v>0</v>
      </c>
      <c r="AC18" s="187">
        <f t="shared" si="1"/>
        <v>1.5659999999999998</v>
      </c>
      <c r="AD18" s="187">
        <f t="shared" si="1"/>
        <v>0</v>
      </c>
      <c r="AE18" s="466">
        <f t="shared" si="1"/>
        <v>171</v>
      </c>
      <c r="AF18" s="466">
        <f t="shared" si="1"/>
        <v>1</v>
      </c>
      <c r="AG18" s="187">
        <f t="shared" si="1"/>
        <v>0</v>
      </c>
      <c r="AH18" s="187">
        <f t="shared" si="1"/>
        <v>11.82594441127852</v>
      </c>
      <c r="AI18" s="187">
        <f t="shared" si="1"/>
        <v>0</v>
      </c>
      <c r="AJ18" s="187">
        <f t="shared" si="1"/>
        <v>0</v>
      </c>
      <c r="AK18" s="187">
        <f t="shared" si="1"/>
        <v>1.5659999999999998</v>
      </c>
      <c r="AL18" s="187">
        <f t="shared" si="1"/>
        <v>0</v>
      </c>
      <c r="AM18" s="321">
        <f t="shared" si="1"/>
        <v>171</v>
      </c>
      <c r="AN18" s="321">
        <f t="shared" si="1"/>
        <v>1</v>
      </c>
    </row>
    <row r="19" spans="1:40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AN19" si="2">E36</f>
        <v>0</v>
      </c>
      <c r="F19" s="184">
        <f t="shared" si="2"/>
        <v>0</v>
      </c>
      <c r="G19" s="184">
        <f t="shared" si="2"/>
        <v>0</v>
      </c>
      <c r="H19" s="184">
        <f t="shared" si="2"/>
        <v>0</v>
      </c>
      <c r="I19" s="184">
        <f t="shared" si="2"/>
        <v>0</v>
      </c>
      <c r="J19" s="184">
        <f t="shared" si="2"/>
        <v>0</v>
      </c>
      <c r="K19" s="184">
        <f t="shared" si="2"/>
        <v>0</v>
      </c>
      <c r="L19" s="184">
        <f t="shared" si="2"/>
        <v>0</v>
      </c>
      <c r="M19" s="184">
        <f t="shared" si="2"/>
        <v>0</v>
      </c>
      <c r="N19" s="184">
        <f t="shared" si="2"/>
        <v>0</v>
      </c>
      <c r="O19" s="184">
        <f t="shared" si="2"/>
        <v>0</v>
      </c>
      <c r="P19" s="184">
        <f t="shared" si="2"/>
        <v>0</v>
      </c>
      <c r="Q19" s="184">
        <f t="shared" si="2"/>
        <v>0</v>
      </c>
      <c r="R19" s="184">
        <f t="shared" si="2"/>
        <v>0</v>
      </c>
      <c r="S19" s="184">
        <f t="shared" si="2"/>
        <v>0</v>
      </c>
      <c r="T19" s="184">
        <f t="shared" si="2"/>
        <v>0</v>
      </c>
      <c r="U19" s="184">
        <f t="shared" si="2"/>
        <v>0</v>
      </c>
      <c r="V19" s="184">
        <f t="shared" si="2"/>
        <v>0</v>
      </c>
      <c r="W19" s="184">
        <f t="shared" si="2"/>
        <v>0</v>
      </c>
      <c r="X19" s="184">
        <f t="shared" si="2"/>
        <v>0</v>
      </c>
      <c r="Y19" s="184">
        <f t="shared" si="2"/>
        <v>0</v>
      </c>
      <c r="Z19" s="184">
        <f t="shared" si="2"/>
        <v>0</v>
      </c>
      <c r="AA19" s="184">
        <f t="shared" si="2"/>
        <v>0</v>
      </c>
      <c r="AB19" s="184">
        <f t="shared" si="2"/>
        <v>0</v>
      </c>
      <c r="AC19" s="184">
        <f t="shared" si="2"/>
        <v>0</v>
      </c>
      <c r="AD19" s="184">
        <f t="shared" si="2"/>
        <v>0</v>
      </c>
      <c r="AE19" s="465"/>
      <c r="AF19" s="465">
        <f t="shared" si="2"/>
        <v>0</v>
      </c>
      <c r="AG19" s="184">
        <f t="shared" si="2"/>
        <v>0</v>
      </c>
      <c r="AH19" s="184">
        <f t="shared" si="2"/>
        <v>0</v>
      </c>
      <c r="AI19" s="184">
        <f t="shared" si="2"/>
        <v>0</v>
      </c>
      <c r="AJ19" s="184">
        <f t="shared" si="2"/>
        <v>0</v>
      </c>
      <c r="AK19" s="184">
        <f t="shared" si="2"/>
        <v>0</v>
      </c>
      <c r="AL19" s="184">
        <f t="shared" si="2"/>
        <v>0</v>
      </c>
      <c r="AM19" s="320"/>
      <c r="AN19" s="320">
        <f t="shared" si="2"/>
        <v>0</v>
      </c>
    </row>
    <row r="20" spans="1:40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467"/>
      <c r="AF20" s="467"/>
      <c r="AG20" s="191"/>
      <c r="AH20" s="191"/>
      <c r="AI20" s="191"/>
      <c r="AJ20" s="191"/>
      <c r="AK20" s="191"/>
      <c r="AL20" s="191"/>
      <c r="AM20" s="463"/>
      <c r="AN20" s="463"/>
    </row>
    <row r="21" spans="1:40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466"/>
      <c r="AF21" s="466"/>
      <c r="AG21" s="187"/>
      <c r="AH21" s="187"/>
      <c r="AI21" s="187"/>
      <c r="AJ21" s="187"/>
      <c r="AK21" s="187"/>
      <c r="AL21" s="187"/>
      <c r="AM21" s="321"/>
      <c r="AN21" s="321"/>
    </row>
    <row r="22" spans="1:40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466"/>
      <c r="AF22" s="466"/>
      <c r="AG22" s="187"/>
      <c r="AH22" s="187"/>
      <c r="AI22" s="187"/>
      <c r="AJ22" s="187"/>
      <c r="AK22" s="187"/>
      <c r="AL22" s="187"/>
      <c r="AM22" s="321"/>
      <c r="AN22" s="321"/>
    </row>
    <row r="23" spans="1:40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466"/>
      <c r="AF23" s="466"/>
      <c r="AG23" s="187"/>
      <c r="AH23" s="187"/>
      <c r="AI23" s="187"/>
      <c r="AJ23" s="187"/>
      <c r="AK23" s="187"/>
      <c r="AL23" s="187"/>
      <c r="AM23" s="321"/>
      <c r="AN23" s="321"/>
    </row>
    <row r="24" spans="1:40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467"/>
      <c r="AF24" s="467"/>
      <c r="AG24" s="191"/>
      <c r="AH24" s="191"/>
      <c r="AI24" s="191"/>
      <c r="AJ24" s="191"/>
      <c r="AK24" s="191"/>
      <c r="AL24" s="191"/>
      <c r="AM24" s="463"/>
      <c r="AN24" s="463"/>
    </row>
    <row r="25" spans="1:40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466"/>
      <c r="AF25" s="466"/>
      <c r="AG25" s="187"/>
      <c r="AH25" s="187"/>
      <c r="AI25" s="187"/>
      <c r="AJ25" s="187"/>
      <c r="AK25" s="187"/>
      <c r="AL25" s="187"/>
      <c r="AM25" s="321"/>
      <c r="AN25" s="321"/>
    </row>
    <row r="26" spans="1:40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466"/>
      <c r="AF26" s="466"/>
      <c r="AG26" s="187"/>
      <c r="AH26" s="187"/>
      <c r="AI26" s="187"/>
      <c r="AJ26" s="187"/>
      <c r="AK26" s="187"/>
      <c r="AL26" s="187"/>
      <c r="AM26" s="321"/>
      <c r="AN26" s="321"/>
    </row>
    <row r="27" spans="1:40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467"/>
      <c r="AF27" s="467"/>
      <c r="AG27" s="191"/>
      <c r="AH27" s="191"/>
      <c r="AI27" s="191"/>
      <c r="AJ27" s="191"/>
      <c r="AK27" s="191"/>
      <c r="AL27" s="191"/>
      <c r="AM27" s="463"/>
      <c r="AN27" s="463"/>
    </row>
    <row r="28" spans="1:40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466"/>
      <c r="AF28" s="466"/>
      <c r="AG28" s="187"/>
      <c r="AH28" s="187"/>
      <c r="AI28" s="187"/>
      <c r="AJ28" s="187"/>
      <c r="AK28" s="187"/>
      <c r="AL28" s="187"/>
      <c r="AM28" s="321"/>
      <c r="AN28" s="321"/>
    </row>
    <row r="29" spans="1:40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466"/>
      <c r="AF29" s="466"/>
      <c r="AG29" s="187"/>
      <c r="AH29" s="187"/>
      <c r="AI29" s="187"/>
      <c r="AJ29" s="187"/>
      <c r="AK29" s="187"/>
      <c r="AL29" s="187"/>
      <c r="AM29" s="321"/>
      <c r="AN29" s="321"/>
    </row>
    <row r="30" spans="1:40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466"/>
      <c r="AF30" s="466"/>
      <c r="AG30" s="187"/>
      <c r="AH30" s="187"/>
      <c r="AI30" s="187"/>
      <c r="AJ30" s="187"/>
      <c r="AK30" s="187"/>
      <c r="AL30" s="187"/>
      <c r="AM30" s="321"/>
      <c r="AN30" s="321"/>
    </row>
    <row r="31" spans="1:40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466"/>
      <c r="AF31" s="466"/>
      <c r="AG31" s="187"/>
      <c r="AH31" s="187"/>
      <c r="AI31" s="187"/>
      <c r="AJ31" s="187"/>
      <c r="AK31" s="187"/>
      <c r="AL31" s="187"/>
      <c r="AM31" s="321"/>
      <c r="AN31" s="321"/>
    </row>
    <row r="32" spans="1:40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466"/>
      <c r="AF32" s="466"/>
      <c r="AG32" s="187"/>
      <c r="AH32" s="187"/>
      <c r="AI32" s="187"/>
      <c r="AJ32" s="187"/>
      <c r="AK32" s="187"/>
      <c r="AL32" s="187"/>
      <c r="AM32" s="321"/>
      <c r="AN32" s="321"/>
    </row>
    <row r="33" spans="1:40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466"/>
      <c r="AF33" s="466"/>
      <c r="AG33" s="187"/>
      <c r="AH33" s="187"/>
      <c r="AI33" s="187"/>
      <c r="AJ33" s="187"/>
      <c r="AK33" s="187"/>
      <c r="AL33" s="187"/>
      <c r="AM33" s="321"/>
      <c r="AN33" s="321"/>
    </row>
    <row r="34" spans="1:40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466"/>
      <c r="AF34" s="466"/>
      <c r="AG34" s="187"/>
      <c r="AH34" s="187"/>
      <c r="AI34" s="187"/>
      <c r="AJ34" s="187"/>
      <c r="AK34" s="187"/>
      <c r="AL34" s="187"/>
      <c r="AM34" s="321"/>
      <c r="AN34" s="321"/>
    </row>
    <row r="35" spans="1:40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466"/>
      <c r="AF35" s="466"/>
      <c r="AG35" s="187"/>
      <c r="AH35" s="187"/>
      <c r="AI35" s="187"/>
      <c r="AJ35" s="187"/>
      <c r="AK35" s="187"/>
      <c r="AL35" s="187"/>
      <c r="AM35" s="321"/>
      <c r="AN35" s="321"/>
    </row>
    <row r="36" spans="1:40" s="196" customFormat="1" ht="63" collapsed="1" x14ac:dyDescent="0.25">
      <c r="A36" s="194" t="s">
        <v>39</v>
      </c>
      <c r="B36" s="65" t="s">
        <v>40</v>
      </c>
      <c r="C36" s="195">
        <v>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468"/>
      <c r="AF36" s="468"/>
      <c r="AG36" s="195"/>
      <c r="AH36" s="195"/>
      <c r="AI36" s="195"/>
      <c r="AJ36" s="195"/>
      <c r="AK36" s="195"/>
      <c r="AL36" s="195"/>
      <c r="AM36" s="318"/>
      <c r="AN36" s="318"/>
    </row>
    <row r="37" spans="1:40" s="193" customFormat="1" ht="47.25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467"/>
      <c r="AF37" s="467"/>
      <c r="AG37" s="191"/>
      <c r="AH37" s="191"/>
      <c r="AI37" s="191"/>
      <c r="AJ37" s="191"/>
      <c r="AK37" s="191"/>
      <c r="AL37" s="191"/>
      <c r="AM37" s="463"/>
      <c r="AN37" s="463"/>
    </row>
    <row r="38" spans="1:40" s="185" customFormat="1" ht="31.5" x14ac:dyDescent="0.25">
      <c r="A38" s="183" t="s">
        <v>42</v>
      </c>
      <c r="B38" s="64" t="s">
        <v>43</v>
      </c>
      <c r="C38" s="184">
        <v>0</v>
      </c>
      <c r="D38" s="184">
        <f>D39+D45+D52</f>
        <v>0</v>
      </c>
      <c r="E38" s="184">
        <f t="shared" ref="E38:AN38" si="3">E39+E45+E52</f>
        <v>0</v>
      </c>
      <c r="F38" s="184">
        <f t="shared" si="3"/>
        <v>0</v>
      </c>
      <c r="G38" s="184">
        <f t="shared" si="3"/>
        <v>0</v>
      </c>
      <c r="H38" s="184">
        <f t="shared" si="3"/>
        <v>0</v>
      </c>
      <c r="I38" s="184">
        <f t="shared" si="3"/>
        <v>0</v>
      </c>
      <c r="J38" s="184">
        <f t="shared" si="3"/>
        <v>0</v>
      </c>
      <c r="K38" s="184">
        <f t="shared" si="3"/>
        <v>0</v>
      </c>
      <c r="L38" s="184">
        <f t="shared" si="3"/>
        <v>0</v>
      </c>
      <c r="M38" s="184">
        <f t="shared" si="3"/>
        <v>0</v>
      </c>
      <c r="N38" s="184">
        <f t="shared" si="3"/>
        <v>0</v>
      </c>
      <c r="O38" s="184">
        <f t="shared" si="3"/>
        <v>0</v>
      </c>
      <c r="P38" s="184">
        <f t="shared" si="3"/>
        <v>0</v>
      </c>
      <c r="Q38" s="184">
        <f t="shared" si="3"/>
        <v>0</v>
      </c>
      <c r="R38" s="184">
        <f t="shared" si="3"/>
        <v>0</v>
      </c>
      <c r="S38" s="184">
        <f t="shared" si="3"/>
        <v>0</v>
      </c>
      <c r="T38" s="184">
        <f t="shared" si="3"/>
        <v>0</v>
      </c>
      <c r="U38" s="184">
        <f t="shared" si="3"/>
        <v>0</v>
      </c>
      <c r="V38" s="184">
        <f t="shared" si="3"/>
        <v>0</v>
      </c>
      <c r="W38" s="184">
        <f t="shared" si="3"/>
        <v>0</v>
      </c>
      <c r="X38" s="184">
        <f t="shared" si="3"/>
        <v>0</v>
      </c>
      <c r="Y38" s="184">
        <f t="shared" si="3"/>
        <v>0</v>
      </c>
      <c r="Z38" s="184">
        <f t="shared" si="3"/>
        <v>5.5140174466435194</v>
      </c>
      <c r="AA38" s="184">
        <f t="shared" si="3"/>
        <v>0</v>
      </c>
      <c r="AB38" s="184">
        <f t="shared" si="3"/>
        <v>0</v>
      </c>
      <c r="AC38" s="184">
        <f t="shared" si="3"/>
        <v>1.5659999999999998</v>
      </c>
      <c r="AD38" s="184">
        <f t="shared" si="3"/>
        <v>0</v>
      </c>
      <c r="AE38" s="465">
        <f t="shared" si="3"/>
        <v>171</v>
      </c>
      <c r="AF38" s="465">
        <f t="shared" si="3"/>
        <v>0</v>
      </c>
      <c r="AG38" s="184">
        <f t="shared" si="3"/>
        <v>0</v>
      </c>
      <c r="AH38" s="184">
        <f t="shared" si="3"/>
        <v>5.5140174466435194</v>
      </c>
      <c r="AI38" s="184">
        <f t="shared" si="3"/>
        <v>0</v>
      </c>
      <c r="AJ38" s="184">
        <f t="shared" si="3"/>
        <v>0</v>
      </c>
      <c r="AK38" s="184">
        <f t="shared" si="3"/>
        <v>1.5659999999999998</v>
      </c>
      <c r="AL38" s="184">
        <f t="shared" si="3"/>
        <v>0</v>
      </c>
      <c r="AM38" s="320">
        <f t="shared" si="3"/>
        <v>171</v>
      </c>
      <c r="AN38" s="320">
        <f t="shared" si="3"/>
        <v>0</v>
      </c>
    </row>
    <row r="39" spans="1:40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0</v>
      </c>
      <c r="E39" s="195">
        <f t="shared" ref="E39:AN39" si="4">E40</f>
        <v>0</v>
      </c>
      <c r="F39" s="195">
        <f t="shared" si="4"/>
        <v>0</v>
      </c>
      <c r="G39" s="195">
        <f t="shared" si="4"/>
        <v>0</v>
      </c>
      <c r="H39" s="195">
        <f t="shared" si="4"/>
        <v>0</v>
      </c>
      <c r="I39" s="195">
        <f t="shared" si="4"/>
        <v>0</v>
      </c>
      <c r="J39" s="195">
        <f t="shared" si="4"/>
        <v>0</v>
      </c>
      <c r="K39" s="195">
        <f t="shared" si="4"/>
        <v>0</v>
      </c>
      <c r="L39" s="195">
        <f t="shared" si="4"/>
        <v>0</v>
      </c>
      <c r="M39" s="195">
        <f t="shared" si="4"/>
        <v>0</v>
      </c>
      <c r="N39" s="195">
        <f t="shared" si="4"/>
        <v>0</v>
      </c>
      <c r="O39" s="195">
        <f t="shared" si="4"/>
        <v>0</v>
      </c>
      <c r="P39" s="195">
        <f t="shared" si="4"/>
        <v>0</v>
      </c>
      <c r="Q39" s="195">
        <f t="shared" si="4"/>
        <v>0</v>
      </c>
      <c r="R39" s="195">
        <f t="shared" si="4"/>
        <v>0</v>
      </c>
      <c r="S39" s="195">
        <f t="shared" si="4"/>
        <v>0</v>
      </c>
      <c r="T39" s="195">
        <f t="shared" si="4"/>
        <v>0</v>
      </c>
      <c r="U39" s="195">
        <f t="shared" si="4"/>
        <v>0</v>
      </c>
      <c r="V39" s="195">
        <f t="shared" si="4"/>
        <v>0</v>
      </c>
      <c r="W39" s="195">
        <f t="shared" si="4"/>
        <v>0</v>
      </c>
      <c r="X39" s="195">
        <f t="shared" si="4"/>
        <v>0</v>
      </c>
      <c r="Y39" s="195">
        <f t="shared" si="4"/>
        <v>0</v>
      </c>
      <c r="Z39" s="195">
        <f t="shared" si="4"/>
        <v>0</v>
      </c>
      <c r="AA39" s="195">
        <f t="shared" si="4"/>
        <v>0</v>
      </c>
      <c r="AB39" s="195">
        <f t="shared" si="4"/>
        <v>0</v>
      </c>
      <c r="AC39" s="195">
        <f t="shared" si="4"/>
        <v>0</v>
      </c>
      <c r="AD39" s="195">
        <f t="shared" si="4"/>
        <v>0</v>
      </c>
      <c r="AE39" s="468">
        <f t="shared" si="4"/>
        <v>0</v>
      </c>
      <c r="AF39" s="468">
        <f t="shared" si="4"/>
        <v>0</v>
      </c>
      <c r="AG39" s="195">
        <f t="shared" si="4"/>
        <v>0</v>
      </c>
      <c r="AH39" s="195">
        <f t="shared" si="4"/>
        <v>0</v>
      </c>
      <c r="AI39" s="195">
        <f t="shared" si="4"/>
        <v>0</v>
      </c>
      <c r="AJ39" s="195">
        <f t="shared" si="4"/>
        <v>0</v>
      </c>
      <c r="AK39" s="195">
        <f t="shared" si="4"/>
        <v>0</v>
      </c>
      <c r="AL39" s="195">
        <f t="shared" si="4"/>
        <v>0</v>
      </c>
      <c r="AM39" s="318">
        <f t="shared" si="4"/>
        <v>0</v>
      </c>
      <c r="AN39" s="318">
        <f t="shared" si="4"/>
        <v>0</v>
      </c>
    </row>
    <row r="40" spans="1:40" s="200" customFormat="1" ht="31.5" x14ac:dyDescent="0.25">
      <c r="A40" s="197" t="s">
        <v>44</v>
      </c>
      <c r="B40" s="11" t="s">
        <v>45</v>
      </c>
      <c r="C40" s="198">
        <v>0</v>
      </c>
      <c r="D40" s="198">
        <f>SUM(D41:D43)</f>
        <v>0</v>
      </c>
      <c r="E40" s="198">
        <f t="shared" ref="E40:AN40" si="5">SUM(E41:E43)</f>
        <v>0</v>
      </c>
      <c r="F40" s="198">
        <f t="shared" si="5"/>
        <v>0</v>
      </c>
      <c r="G40" s="198">
        <f t="shared" si="5"/>
        <v>0</v>
      </c>
      <c r="H40" s="198">
        <f t="shared" si="5"/>
        <v>0</v>
      </c>
      <c r="I40" s="198">
        <f t="shared" si="5"/>
        <v>0</v>
      </c>
      <c r="J40" s="198">
        <f t="shared" si="5"/>
        <v>0</v>
      </c>
      <c r="K40" s="198">
        <f t="shared" si="5"/>
        <v>0</v>
      </c>
      <c r="L40" s="198">
        <f t="shared" si="5"/>
        <v>0</v>
      </c>
      <c r="M40" s="198">
        <f t="shared" si="5"/>
        <v>0</v>
      </c>
      <c r="N40" s="198">
        <f t="shared" si="5"/>
        <v>0</v>
      </c>
      <c r="O40" s="198">
        <f t="shared" si="5"/>
        <v>0</v>
      </c>
      <c r="P40" s="198">
        <f t="shared" si="5"/>
        <v>0</v>
      </c>
      <c r="Q40" s="198">
        <f t="shared" si="5"/>
        <v>0</v>
      </c>
      <c r="R40" s="198">
        <f t="shared" si="5"/>
        <v>0</v>
      </c>
      <c r="S40" s="198">
        <f t="shared" si="5"/>
        <v>0</v>
      </c>
      <c r="T40" s="198">
        <f t="shared" si="5"/>
        <v>0</v>
      </c>
      <c r="U40" s="198">
        <f t="shared" si="5"/>
        <v>0</v>
      </c>
      <c r="V40" s="198">
        <f t="shared" si="5"/>
        <v>0</v>
      </c>
      <c r="W40" s="198">
        <f t="shared" si="5"/>
        <v>0</v>
      </c>
      <c r="X40" s="198">
        <f t="shared" si="5"/>
        <v>0</v>
      </c>
      <c r="Y40" s="198">
        <f t="shared" si="5"/>
        <v>0</v>
      </c>
      <c r="Z40" s="198">
        <f t="shared" si="5"/>
        <v>0</v>
      </c>
      <c r="AA40" s="198">
        <f t="shared" si="5"/>
        <v>0</v>
      </c>
      <c r="AB40" s="198">
        <f t="shared" si="5"/>
        <v>0</v>
      </c>
      <c r="AC40" s="198">
        <f t="shared" si="5"/>
        <v>0</v>
      </c>
      <c r="AD40" s="198">
        <f t="shared" si="5"/>
        <v>0</v>
      </c>
      <c r="AE40" s="469">
        <f t="shared" si="5"/>
        <v>0</v>
      </c>
      <c r="AF40" s="469">
        <f t="shared" si="5"/>
        <v>0</v>
      </c>
      <c r="AG40" s="198">
        <f t="shared" si="5"/>
        <v>0</v>
      </c>
      <c r="AH40" s="198">
        <f t="shared" si="5"/>
        <v>0</v>
      </c>
      <c r="AI40" s="198">
        <f t="shared" si="5"/>
        <v>0</v>
      </c>
      <c r="AJ40" s="198">
        <f t="shared" si="5"/>
        <v>0</v>
      </c>
      <c r="AK40" s="198">
        <f t="shared" si="5"/>
        <v>0</v>
      </c>
      <c r="AL40" s="198">
        <f t="shared" si="5"/>
        <v>0</v>
      </c>
      <c r="AM40" s="319">
        <f t="shared" si="5"/>
        <v>0</v>
      </c>
      <c r="AN40" s="319">
        <f t="shared" si="5"/>
        <v>0</v>
      </c>
    </row>
    <row r="41" spans="1:40" s="362" customFormat="1" x14ac:dyDescent="0.25">
      <c r="A41" s="14" t="s">
        <v>46</v>
      </c>
      <c r="B41" s="417" t="s">
        <v>735</v>
      </c>
      <c r="C41" s="390" t="s">
        <v>721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351">
        <v>0</v>
      </c>
      <c r="U41" s="351">
        <v>0</v>
      </c>
      <c r="V41" s="351">
        <v>0</v>
      </c>
      <c r="W41" s="351">
        <v>0</v>
      </c>
      <c r="X41" s="351">
        <v>0</v>
      </c>
      <c r="Y41" s="351">
        <v>0</v>
      </c>
      <c r="Z41" s="351">
        <v>0</v>
      </c>
      <c r="AA41" s="351">
        <v>0</v>
      </c>
      <c r="AB41" s="351">
        <v>0</v>
      </c>
      <c r="AC41" s="351">
        <v>0</v>
      </c>
      <c r="AD41" s="351">
        <v>0</v>
      </c>
      <c r="AE41" s="470"/>
      <c r="AF41" s="470">
        <v>0</v>
      </c>
      <c r="AG41" s="351">
        <f>D41+K41+R41+Y41</f>
        <v>0</v>
      </c>
      <c r="AH41" s="351">
        <f>E41+L41+S41+Z41</f>
        <v>0</v>
      </c>
      <c r="AI41" s="351">
        <f t="shared" ref="AI41:AN43" si="6">F41+M41+T41+AA41</f>
        <v>0</v>
      </c>
      <c r="AJ41" s="351">
        <f t="shared" si="6"/>
        <v>0</v>
      </c>
      <c r="AK41" s="351">
        <f t="shared" si="6"/>
        <v>0</v>
      </c>
      <c r="AL41" s="351">
        <f t="shared" si="6"/>
        <v>0</v>
      </c>
      <c r="AM41" s="368">
        <f t="shared" si="6"/>
        <v>0</v>
      </c>
      <c r="AN41" s="368">
        <f t="shared" si="6"/>
        <v>0</v>
      </c>
    </row>
    <row r="42" spans="1:40" s="362" customFormat="1" x14ac:dyDescent="0.25">
      <c r="A42" s="14" t="s">
        <v>527</v>
      </c>
      <c r="B42" s="419" t="s">
        <v>736</v>
      </c>
      <c r="C42" s="390" t="s">
        <v>722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470"/>
      <c r="AF42" s="470"/>
      <c r="AG42" s="351"/>
      <c r="AH42" s="351">
        <f t="shared" ref="AH42:AH43" si="7">E42+L42+S42+Z42</f>
        <v>0</v>
      </c>
      <c r="AI42" s="351">
        <f t="shared" si="6"/>
        <v>0</v>
      </c>
      <c r="AJ42" s="351">
        <f t="shared" si="6"/>
        <v>0</v>
      </c>
      <c r="AK42" s="351">
        <f t="shared" si="6"/>
        <v>0</v>
      </c>
      <c r="AL42" s="351">
        <f t="shared" si="6"/>
        <v>0</v>
      </c>
      <c r="AM42" s="368">
        <f t="shared" si="6"/>
        <v>0</v>
      </c>
      <c r="AN42" s="368">
        <f t="shared" si="6"/>
        <v>0</v>
      </c>
    </row>
    <row r="43" spans="1:40" s="362" customFormat="1" x14ac:dyDescent="0.25">
      <c r="A43" s="14" t="s">
        <v>700</v>
      </c>
      <c r="B43" s="419" t="s">
        <v>737</v>
      </c>
      <c r="C43" s="390" t="s">
        <v>723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470"/>
      <c r="AF43" s="470"/>
      <c r="AG43" s="351"/>
      <c r="AH43" s="351">
        <f t="shared" si="7"/>
        <v>0</v>
      </c>
      <c r="AI43" s="351">
        <f t="shared" si="6"/>
        <v>0</v>
      </c>
      <c r="AJ43" s="351">
        <f t="shared" si="6"/>
        <v>0</v>
      </c>
      <c r="AK43" s="351">
        <f t="shared" si="6"/>
        <v>0</v>
      </c>
      <c r="AL43" s="351">
        <f t="shared" si="6"/>
        <v>0</v>
      </c>
      <c r="AM43" s="368">
        <f t="shared" si="6"/>
        <v>0</v>
      </c>
      <c r="AN43" s="368">
        <f t="shared" si="6"/>
        <v>0</v>
      </c>
    </row>
    <row r="44" spans="1:40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469"/>
      <c r="AF44" s="469"/>
      <c r="AG44" s="198"/>
      <c r="AH44" s="198"/>
      <c r="AI44" s="198"/>
      <c r="AJ44" s="198"/>
      <c r="AK44" s="198"/>
      <c r="AL44" s="198"/>
      <c r="AM44" s="319"/>
      <c r="AN44" s="319"/>
    </row>
    <row r="45" spans="1:40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0</v>
      </c>
      <c r="E45" s="195">
        <f t="shared" ref="E45:AN45" si="8">E46</f>
        <v>0</v>
      </c>
      <c r="F45" s="195">
        <f t="shared" si="8"/>
        <v>0</v>
      </c>
      <c r="G45" s="195">
        <f t="shared" si="8"/>
        <v>0</v>
      </c>
      <c r="H45" s="195">
        <f t="shared" si="8"/>
        <v>0</v>
      </c>
      <c r="I45" s="195">
        <f t="shared" si="8"/>
        <v>0</v>
      </c>
      <c r="J45" s="195">
        <f t="shared" si="8"/>
        <v>0</v>
      </c>
      <c r="K45" s="195">
        <f t="shared" si="8"/>
        <v>0</v>
      </c>
      <c r="L45" s="195">
        <f t="shared" si="8"/>
        <v>0</v>
      </c>
      <c r="M45" s="195">
        <f t="shared" si="8"/>
        <v>0</v>
      </c>
      <c r="N45" s="195">
        <f t="shared" si="8"/>
        <v>0</v>
      </c>
      <c r="O45" s="195">
        <f t="shared" si="8"/>
        <v>0</v>
      </c>
      <c r="P45" s="195">
        <f t="shared" si="8"/>
        <v>0</v>
      </c>
      <c r="Q45" s="195">
        <f t="shared" si="8"/>
        <v>0</v>
      </c>
      <c r="R45" s="195">
        <f t="shared" si="8"/>
        <v>0</v>
      </c>
      <c r="S45" s="195">
        <f t="shared" si="8"/>
        <v>0</v>
      </c>
      <c r="T45" s="195">
        <f t="shared" si="8"/>
        <v>0</v>
      </c>
      <c r="U45" s="195">
        <f t="shared" si="8"/>
        <v>0</v>
      </c>
      <c r="V45" s="195">
        <f t="shared" si="8"/>
        <v>0</v>
      </c>
      <c r="W45" s="195">
        <f t="shared" si="8"/>
        <v>0</v>
      </c>
      <c r="X45" s="195">
        <f t="shared" si="8"/>
        <v>0</v>
      </c>
      <c r="Y45" s="195">
        <f t="shared" si="8"/>
        <v>0</v>
      </c>
      <c r="Z45" s="195">
        <f t="shared" si="8"/>
        <v>1.7328179360234399</v>
      </c>
      <c r="AA45" s="195">
        <f t="shared" si="8"/>
        <v>0</v>
      </c>
      <c r="AB45" s="195">
        <f t="shared" si="8"/>
        <v>0</v>
      </c>
      <c r="AC45" s="195">
        <f t="shared" si="8"/>
        <v>1.5659999999999998</v>
      </c>
      <c r="AD45" s="195">
        <f t="shared" si="8"/>
        <v>0</v>
      </c>
      <c r="AE45" s="468">
        <f t="shared" si="8"/>
        <v>0</v>
      </c>
      <c r="AF45" s="468">
        <f t="shared" si="8"/>
        <v>0</v>
      </c>
      <c r="AG45" s="195">
        <f t="shared" si="8"/>
        <v>0</v>
      </c>
      <c r="AH45" s="195">
        <f t="shared" si="8"/>
        <v>1.7328179360234399</v>
      </c>
      <c r="AI45" s="195">
        <f t="shared" si="8"/>
        <v>0</v>
      </c>
      <c r="AJ45" s="195">
        <f t="shared" si="8"/>
        <v>0</v>
      </c>
      <c r="AK45" s="195">
        <f t="shared" si="8"/>
        <v>1.5659999999999998</v>
      </c>
      <c r="AL45" s="195">
        <f t="shared" si="8"/>
        <v>0</v>
      </c>
      <c r="AM45" s="318">
        <f t="shared" si="8"/>
        <v>0</v>
      </c>
      <c r="AN45" s="318">
        <f t="shared" si="8"/>
        <v>0</v>
      </c>
    </row>
    <row r="46" spans="1:40" s="200" customFormat="1" x14ac:dyDescent="0.25">
      <c r="A46" s="197" t="s">
        <v>74</v>
      </c>
      <c r="B46" s="11" t="s">
        <v>75</v>
      </c>
      <c r="C46" s="198">
        <v>0</v>
      </c>
      <c r="D46" s="198">
        <f>SUM(D47:D50)</f>
        <v>0</v>
      </c>
      <c r="E46" s="198">
        <f t="shared" ref="E46:AN46" si="9">SUM(E47:E50)</f>
        <v>0</v>
      </c>
      <c r="F46" s="198">
        <f t="shared" si="9"/>
        <v>0</v>
      </c>
      <c r="G46" s="198">
        <f t="shared" si="9"/>
        <v>0</v>
      </c>
      <c r="H46" s="198">
        <f t="shared" si="9"/>
        <v>0</v>
      </c>
      <c r="I46" s="198">
        <f t="shared" si="9"/>
        <v>0</v>
      </c>
      <c r="J46" s="198">
        <f t="shared" si="9"/>
        <v>0</v>
      </c>
      <c r="K46" s="198">
        <f t="shared" si="9"/>
        <v>0</v>
      </c>
      <c r="L46" s="198">
        <f t="shared" si="9"/>
        <v>0</v>
      </c>
      <c r="M46" s="198">
        <f t="shared" si="9"/>
        <v>0</v>
      </c>
      <c r="N46" s="198">
        <f t="shared" si="9"/>
        <v>0</v>
      </c>
      <c r="O46" s="198">
        <f t="shared" si="9"/>
        <v>0</v>
      </c>
      <c r="P46" s="198">
        <f t="shared" si="9"/>
        <v>0</v>
      </c>
      <c r="Q46" s="198">
        <f t="shared" si="9"/>
        <v>0</v>
      </c>
      <c r="R46" s="198">
        <f t="shared" si="9"/>
        <v>0</v>
      </c>
      <c r="S46" s="198">
        <f t="shared" si="9"/>
        <v>0</v>
      </c>
      <c r="T46" s="198">
        <f t="shared" si="9"/>
        <v>0</v>
      </c>
      <c r="U46" s="198">
        <f t="shared" si="9"/>
        <v>0</v>
      </c>
      <c r="V46" s="198">
        <f t="shared" si="9"/>
        <v>0</v>
      </c>
      <c r="W46" s="198">
        <f t="shared" si="9"/>
        <v>0</v>
      </c>
      <c r="X46" s="198">
        <f t="shared" si="9"/>
        <v>0</v>
      </c>
      <c r="Y46" s="198">
        <f t="shared" si="9"/>
        <v>0</v>
      </c>
      <c r="Z46" s="198">
        <f t="shared" si="9"/>
        <v>1.7328179360234399</v>
      </c>
      <c r="AA46" s="198">
        <f t="shared" si="9"/>
        <v>0</v>
      </c>
      <c r="AB46" s="198">
        <f t="shared" si="9"/>
        <v>0</v>
      </c>
      <c r="AC46" s="198">
        <f t="shared" si="9"/>
        <v>1.5659999999999998</v>
      </c>
      <c r="AD46" s="198">
        <f t="shared" si="9"/>
        <v>0</v>
      </c>
      <c r="AE46" s="469">
        <f t="shared" si="9"/>
        <v>0</v>
      </c>
      <c r="AF46" s="469">
        <f t="shared" si="9"/>
        <v>0</v>
      </c>
      <c r="AG46" s="198">
        <f t="shared" si="9"/>
        <v>0</v>
      </c>
      <c r="AH46" s="198">
        <f t="shared" si="9"/>
        <v>1.7328179360234399</v>
      </c>
      <c r="AI46" s="198">
        <f t="shared" si="9"/>
        <v>0</v>
      </c>
      <c r="AJ46" s="198">
        <f t="shared" si="9"/>
        <v>0</v>
      </c>
      <c r="AK46" s="198">
        <f t="shared" si="9"/>
        <v>1.5659999999999998</v>
      </c>
      <c r="AL46" s="198">
        <f t="shared" si="9"/>
        <v>0</v>
      </c>
      <c r="AM46" s="319">
        <f t="shared" si="9"/>
        <v>0</v>
      </c>
      <c r="AN46" s="319">
        <f t="shared" si="9"/>
        <v>0</v>
      </c>
    </row>
    <row r="47" spans="1:40" s="362" customFormat="1" ht="25.5" x14ac:dyDescent="0.25">
      <c r="A47" s="14" t="s">
        <v>76</v>
      </c>
      <c r="B47" s="417" t="s">
        <v>738</v>
      </c>
      <c r="C47" s="390" t="s">
        <v>724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>
        <f>Ф4!BA48</f>
        <v>0.84742460130791997</v>
      </c>
      <c r="AA47" s="351">
        <f>Ф4!BB48</f>
        <v>0</v>
      </c>
      <c r="AB47" s="351">
        <f>Ф4!BC48</f>
        <v>0</v>
      </c>
      <c r="AC47" s="351">
        <f>Ф4!BD48</f>
        <v>0.74099999999999999</v>
      </c>
      <c r="AD47" s="351">
        <f>Ф4!BE48</f>
        <v>0</v>
      </c>
      <c r="AE47" s="470">
        <f>Ф4!BF48</f>
        <v>0</v>
      </c>
      <c r="AF47" s="470">
        <f>Ф4!BG48</f>
        <v>0</v>
      </c>
      <c r="AG47" s="351"/>
      <c r="AH47" s="351">
        <f>E47+L47+S47+Z47</f>
        <v>0.84742460130791997</v>
      </c>
      <c r="AI47" s="351">
        <f>F47+M47+T47+AA47</f>
        <v>0</v>
      </c>
      <c r="AJ47" s="351">
        <f>G47+N47+U47+AB47</f>
        <v>0</v>
      </c>
      <c r="AK47" s="351">
        <f>H47+O47+V47+AC47</f>
        <v>0.74099999999999999</v>
      </c>
      <c r="AL47" s="351">
        <f>I47+P47+W47+AD47</f>
        <v>0</v>
      </c>
      <c r="AM47" s="368">
        <f t="shared" ref="AM47:AN50" si="10">J47+Q47+X47+AE47</f>
        <v>0</v>
      </c>
      <c r="AN47" s="368">
        <f t="shared" si="10"/>
        <v>0</v>
      </c>
    </row>
    <row r="48" spans="1:40" s="362" customFormat="1" x14ac:dyDescent="0.25">
      <c r="A48" s="14" t="s">
        <v>659</v>
      </c>
      <c r="B48" s="417" t="s">
        <v>739</v>
      </c>
      <c r="C48" s="390" t="s">
        <v>725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0</v>
      </c>
      <c r="N48" s="351">
        <v>0</v>
      </c>
      <c r="O48" s="351">
        <v>0</v>
      </c>
      <c r="P48" s="351">
        <v>0</v>
      </c>
      <c r="Q48" s="351">
        <v>0</v>
      </c>
      <c r="R48" s="351">
        <v>0</v>
      </c>
      <c r="S48" s="351">
        <v>0</v>
      </c>
      <c r="T48" s="351">
        <v>0</v>
      </c>
      <c r="U48" s="351">
        <v>0</v>
      </c>
      <c r="V48" s="351">
        <v>0</v>
      </c>
      <c r="W48" s="351">
        <v>0</v>
      </c>
      <c r="X48" s="351">
        <v>0</v>
      </c>
      <c r="Y48" s="351">
        <v>0</v>
      </c>
      <c r="Z48" s="351">
        <f>Ф4!BA49</f>
        <v>0.88539333471551984</v>
      </c>
      <c r="AA48" s="351">
        <f>Ф4!BB49</f>
        <v>0</v>
      </c>
      <c r="AB48" s="351">
        <f>Ф4!BC49</f>
        <v>0</v>
      </c>
      <c r="AC48" s="351">
        <f>Ф4!BD49</f>
        <v>0.82499999999999996</v>
      </c>
      <c r="AD48" s="351">
        <f>Ф4!BE49</f>
        <v>0</v>
      </c>
      <c r="AE48" s="470">
        <f>Ф4!BF49</f>
        <v>0</v>
      </c>
      <c r="AF48" s="470">
        <f>Ф4!BG49</f>
        <v>0</v>
      </c>
      <c r="AG48" s="351">
        <f>D48+K48+R48+Y48</f>
        <v>0</v>
      </c>
      <c r="AH48" s="351">
        <f t="shared" ref="AH48:AH50" si="11">E48+L48+S48+Z48</f>
        <v>0.88539333471551984</v>
      </c>
      <c r="AI48" s="351">
        <f t="shared" ref="AI48:AL50" si="12">F48+M48+T48+AA48</f>
        <v>0</v>
      </c>
      <c r="AJ48" s="351">
        <f t="shared" si="12"/>
        <v>0</v>
      </c>
      <c r="AK48" s="351">
        <f t="shared" si="12"/>
        <v>0.82499999999999996</v>
      </c>
      <c r="AL48" s="351">
        <f t="shared" si="12"/>
        <v>0</v>
      </c>
      <c r="AM48" s="368">
        <f t="shared" si="10"/>
        <v>0</v>
      </c>
      <c r="AN48" s="368">
        <f t="shared" si="10"/>
        <v>0</v>
      </c>
    </row>
    <row r="49" spans="1:40" s="362" customFormat="1" x14ac:dyDescent="0.25">
      <c r="A49" s="14" t="s">
        <v>661</v>
      </c>
      <c r="B49" s="417" t="s">
        <v>740</v>
      </c>
      <c r="C49" s="390" t="s">
        <v>726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470"/>
      <c r="AF49" s="470"/>
      <c r="AG49" s="351"/>
      <c r="AH49" s="351">
        <f t="shared" si="11"/>
        <v>0</v>
      </c>
      <c r="AI49" s="351">
        <f t="shared" si="12"/>
        <v>0</v>
      </c>
      <c r="AJ49" s="351">
        <f t="shared" si="12"/>
        <v>0</v>
      </c>
      <c r="AK49" s="351">
        <f t="shared" si="12"/>
        <v>0</v>
      </c>
      <c r="AL49" s="351">
        <f t="shared" si="12"/>
        <v>0</v>
      </c>
      <c r="AM49" s="368">
        <f t="shared" si="10"/>
        <v>0</v>
      </c>
      <c r="AN49" s="368">
        <f t="shared" si="10"/>
        <v>0</v>
      </c>
    </row>
    <row r="50" spans="1:40" s="362" customFormat="1" ht="38.25" x14ac:dyDescent="0.25">
      <c r="A50" s="14" t="s">
        <v>662</v>
      </c>
      <c r="B50" s="417" t="s">
        <v>741</v>
      </c>
      <c r="C50" s="390" t="s">
        <v>727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470"/>
      <c r="AF50" s="470"/>
      <c r="AG50" s="351"/>
      <c r="AH50" s="351">
        <f t="shared" si="11"/>
        <v>0</v>
      </c>
      <c r="AI50" s="351">
        <f t="shared" si="12"/>
        <v>0</v>
      </c>
      <c r="AJ50" s="351">
        <f t="shared" si="12"/>
        <v>0</v>
      </c>
      <c r="AK50" s="351">
        <f t="shared" si="12"/>
        <v>0</v>
      </c>
      <c r="AL50" s="351">
        <f t="shared" si="12"/>
        <v>0</v>
      </c>
      <c r="AM50" s="368">
        <f t="shared" si="10"/>
        <v>0</v>
      </c>
      <c r="AN50" s="368">
        <f t="shared" si="10"/>
        <v>0</v>
      </c>
    </row>
    <row r="51" spans="1:40" s="200" customFormat="1" ht="31.5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469"/>
      <c r="AF51" s="469"/>
      <c r="AG51" s="198"/>
      <c r="AH51" s="198"/>
      <c r="AI51" s="198"/>
      <c r="AJ51" s="198"/>
      <c r="AK51" s="198"/>
      <c r="AL51" s="198"/>
      <c r="AM51" s="319"/>
      <c r="AN51" s="319"/>
    </row>
    <row r="52" spans="1:40" s="196" customFormat="1" ht="31.5" x14ac:dyDescent="0.25">
      <c r="A52" s="194" t="s">
        <v>116</v>
      </c>
      <c r="B52" s="65" t="s">
        <v>117</v>
      </c>
      <c r="C52" s="195">
        <v>0</v>
      </c>
      <c r="D52" s="195">
        <f>D53</f>
        <v>0</v>
      </c>
      <c r="E52" s="195">
        <f t="shared" ref="E52:AN52" si="13">E53</f>
        <v>0</v>
      </c>
      <c r="F52" s="195">
        <f t="shared" si="13"/>
        <v>0</v>
      </c>
      <c r="G52" s="195">
        <f t="shared" si="13"/>
        <v>0</v>
      </c>
      <c r="H52" s="195">
        <f t="shared" si="13"/>
        <v>0</v>
      </c>
      <c r="I52" s="195">
        <f t="shared" si="13"/>
        <v>0</v>
      </c>
      <c r="J52" s="195">
        <f t="shared" si="13"/>
        <v>0</v>
      </c>
      <c r="K52" s="195">
        <f t="shared" si="13"/>
        <v>0</v>
      </c>
      <c r="L52" s="195">
        <f t="shared" si="13"/>
        <v>0</v>
      </c>
      <c r="M52" s="195">
        <f t="shared" si="13"/>
        <v>0</v>
      </c>
      <c r="N52" s="195">
        <f t="shared" si="13"/>
        <v>0</v>
      </c>
      <c r="O52" s="195">
        <f t="shared" si="13"/>
        <v>0</v>
      </c>
      <c r="P52" s="195">
        <f t="shared" si="13"/>
        <v>0</v>
      </c>
      <c r="Q52" s="195">
        <f t="shared" si="13"/>
        <v>0</v>
      </c>
      <c r="R52" s="195">
        <f t="shared" si="13"/>
        <v>0</v>
      </c>
      <c r="S52" s="195">
        <f t="shared" si="13"/>
        <v>0</v>
      </c>
      <c r="T52" s="195">
        <f t="shared" si="13"/>
        <v>0</v>
      </c>
      <c r="U52" s="195">
        <f t="shared" si="13"/>
        <v>0</v>
      </c>
      <c r="V52" s="195">
        <f t="shared" si="13"/>
        <v>0</v>
      </c>
      <c r="W52" s="195">
        <f t="shared" si="13"/>
        <v>0</v>
      </c>
      <c r="X52" s="195">
        <f t="shared" si="13"/>
        <v>0</v>
      </c>
      <c r="Y52" s="195">
        <f t="shared" si="13"/>
        <v>0</v>
      </c>
      <c r="Z52" s="195">
        <f t="shared" si="13"/>
        <v>3.78119951062008</v>
      </c>
      <c r="AA52" s="195">
        <f t="shared" si="13"/>
        <v>0</v>
      </c>
      <c r="AB52" s="195">
        <f t="shared" si="13"/>
        <v>0</v>
      </c>
      <c r="AC52" s="195">
        <f t="shared" si="13"/>
        <v>0</v>
      </c>
      <c r="AD52" s="195">
        <f t="shared" si="13"/>
        <v>0</v>
      </c>
      <c r="AE52" s="468">
        <f t="shared" si="13"/>
        <v>171</v>
      </c>
      <c r="AF52" s="468">
        <f t="shared" si="13"/>
        <v>0</v>
      </c>
      <c r="AG52" s="195">
        <f t="shared" si="13"/>
        <v>0</v>
      </c>
      <c r="AH52" s="195">
        <f t="shared" si="13"/>
        <v>3.78119951062008</v>
      </c>
      <c r="AI52" s="195">
        <f t="shared" si="13"/>
        <v>0</v>
      </c>
      <c r="AJ52" s="195">
        <f t="shared" si="13"/>
        <v>0</v>
      </c>
      <c r="AK52" s="195">
        <f t="shared" si="13"/>
        <v>0</v>
      </c>
      <c r="AL52" s="195">
        <f t="shared" si="13"/>
        <v>0</v>
      </c>
      <c r="AM52" s="318">
        <f t="shared" si="13"/>
        <v>171</v>
      </c>
      <c r="AN52" s="318">
        <f t="shared" si="13"/>
        <v>0</v>
      </c>
    </row>
    <row r="53" spans="1:40" s="200" customFormat="1" ht="31.5" outlineLevel="1" x14ac:dyDescent="0.25">
      <c r="A53" s="197" t="s">
        <v>118</v>
      </c>
      <c r="B53" s="11" t="s">
        <v>119</v>
      </c>
      <c r="C53" s="198"/>
      <c r="D53" s="198">
        <f>SUM(D54:D58)</f>
        <v>0</v>
      </c>
      <c r="E53" s="198">
        <f t="shared" ref="E53:AN53" si="14">SUM(E54:E58)</f>
        <v>0</v>
      </c>
      <c r="F53" s="198">
        <f t="shared" si="14"/>
        <v>0</v>
      </c>
      <c r="G53" s="198">
        <f t="shared" si="14"/>
        <v>0</v>
      </c>
      <c r="H53" s="198">
        <f t="shared" si="14"/>
        <v>0</v>
      </c>
      <c r="I53" s="198">
        <f t="shared" si="14"/>
        <v>0</v>
      </c>
      <c r="J53" s="198">
        <f t="shared" si="14"/>
        <v>0</v>
      </c>
      <c r="K53" s="198">
        <f t="shared" si="14"/>
        <v>0</v>
      </c>
      <c r="L53" s="198">
        <f t="shared" si="14"/>
        <v>0</v>
      </c>
      <c r="M53" s="198">
        <f t="shared" si="14"/>
        <v>0</v>
      </c>
      <c r="N53" s="198">
        <f t="shared" si="14"/>
        <v>0</v>
      </c>
      <c r="O53" s="198">
        <f t="shared" si="14"/>
        <v>0</v>
      </c>
      <c r="P53" s="198">
        <f t="shared" si="14"/>
        <v>0</v>
      </c>
      <c r="Q53" s="198">
        <f t="shared" si="14"/>
        <v>0</v>
      </c>
      <c r="R53" s="198">
        <f t="shared" si="14"/>
        <v>0</v>
      </c>
      <c r="S53" s="198">
        <f t="shared" si="14"/>
        <v>0</v>
      </c>
      <c r="T53" s="198">
        <f t="shared" si="14"/>
        <v>0</v>
      </c>
      <c r="U53" s="198">
        <f t="shared" si="14"/>
        <v>0</v>
      </c>
      <c r="V53" s="198">
        <f t="shared" si="14"/>
        <v>0</v>
      </c>
      <c r="W53" s="198">
        <f t="shared" si="14"/>
        <v>0</v>
      </c>
      <c r="X53" s="198">
        <f t="shared" si="14"/>
        <v>0</v>
      </c>
      <c r="Y53" s="198">
        <f t="shared" si="14"/>
        <v>0</v>
      </c>
      <c r="Z53" s="198">
        <f t="shared" si="14"/>
        <v>3.78119951062008</v>
      </c>
      <c r="AA53" s="198">
        <f t="shared" si="14"/>
        <v>0</v>
      </c>
      <c r="AB53" s="198">
        <f t="shared" si="14"/>
        <v>0</v>
      </c>
      <c r="AC53" s="198">
        <f t="shared" si="14"/>
        <v>0</v>
      </c>
      <c r="AD53" s="198">
        <f t="shared" si="14"/>
        <v>0</v>
      </c>
      <c r="AE53" s="469">
        <f t="shared" si="14"/>
        <v>171</v>
      </c>
      <c r="AF53" s="469">
        <f t="shared" si="14"/>
        <v>0</v>
      </c>
      <c r="AG53" s="198">
        <f t="shared" si="14"/>
        <v>0</v>
      </c>
      <c r="AH53" s="198">
        <f t="shared" si="14"/>
        <v>3.78119951062008</v>
      </c>
      <c r="AI53" s="198">
        <f t="shared" si="14"/>
        <v>0</v>
      </c>
      <c r="AJ53" s="198">
        <f t="shared" si="14"/>
        <v>0</v>
      </c>
      <c r="AK53" s="198">
        <f t="shared" si="14"/>
        <v>0</v>
      </c>
      <c r="AL53" s="198">
        <f t="shared" si="14"/>
        <v>0</v>
      </c>
      <c r="AM53" s="319">
        <f t="shared" si="14"/>
        <v>171</v>
      </c>
      <c r="AN53" s="319">
        <f t="shared" si="14"/>
        <v>0</v>
      </c>
    </row>
    <row r="54" spans="1:40" s="200" customFormat="1" outlineLevel="1" x14ac:dyDescent="0.25">
      <c r="A54" s="14" t="s">
        <v>701</v>
      </c>
      <c r="B54" s="421" t="s">
        <v>706</v>
      </c>
      <c r="C54" s="390" t="s">
        <v>728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469"/>
      <c r="AF54" s="469"/>
      <c r="AG54" s="198"/>
      <c r="AH54" s="351">
        <f t="shared" ref="AH54:AK58" si="15">E54+L54+S54+Z54</f>
        <v>0</v>
      </c>
      <c r="AI54" s="351">
        <f t="shared" si="15"/>
        <v>0</v>
      </c>
      <c r="AJ54" s="351">
        <f t="shared" si="15"/>
        <v>0</v>
      </c>
      <c r="AK54" s="351">
        <f t="shared" si="15"/>
        <v>0</v>
      </c>
      <c r="AL54" s="351">
        <f t="shared" ref="AL54:AN58" si="16">I54+P54+W54+AD54</f>
        <v>0</v>
      </c>
      <c r="AM54" s="368">
        <f t="shared" si="16"/>
        <v>0</v>
      </c>
      <c r="AN54" s="368">
        <f t="shared" si="16"/>
        <v>0</v>
      </c>
    </row>
    <row r="55" spans="1:40" s="200" customFormat="1" outlineLevel="1" x14ac:dyDescent="0.25">
      <c r="A55" s="14" t="s">
        <v>702</v>
      </c>
      <c r="B55" s="421" t="s">
        <v>706</v>
      </c>
      <c r="C55" s="390" t="s">
        <v>729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469"/>
      <c r="AF55" s="469"/>
      <c r="AG55" s="198"/>
      <c r="AH55" s="351">
        <f t="shared" si="15"/>
        <v>0</v>
      </c>
      <c r="AI55" s="351">
        <f t="shared" si="15"/>
        <v>0</v>
      </c>
      <c r="AJ55" s="351">
        <f t="shared" si="15"/>
        <v>0</v>
      </c>
      <c r="AK55" s="351">
        <f t="shared" si="15"/>
        <v>0</v>
      </c>
      <c r="AL55" s="351">
        <f t="shared" si="16"/>
        <v>0</v>
      </c>
      <c r="AM55" s="368">
        <f t="shared" si="16"/>
        <v>0</v>
      </c>
      <c r="AN55" s="368">
        <f t="shared" si="16"/>
        <v>0</v>
      </c>
    </row>
    <row r="56" spans="1:40" s="200" customFormat="1" outlineLevel="1" x14ac:dyDescent="0.25">
      <c r="A56" s="14" t="s">
        <v>703</v>
      </c>
      <c r="B56" s="421" t="s">
        <v>706</v>
      </c>
      <c r="C56" s="390" t="s">
        <v>730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>
        <f>Ф4!BA56</f>
        <v>3.78119951062008</v>
      </c>
      <c r="AA56" s="198">
        <f>Ф4!BB56</f>
        <v>0</v>
      </c>
      <c r="AB56" s="198">
        <f>Ф4!BC56</f>
        <v>0</v>
      </c>
      <c r="AC56" s="198">
        <f>Ф4!BD56</f>
        <v>0</v>
      </c>
      <c r="AD56" s="198">
        <f>Ф4!BE56</f>
        <v>0</v>
      </c>
      <c r="AE56" s="469">
        <f>Ф4!BF56</f>
        <v>171</v>
      </c>
      <c r="AF56" s="469">
        <f>Ф4!BG56</f>
        <v>0</v>
      </c>
      <c r="AG56" s="198"/>
      <c r="AH56" s="351">
        <f t="shared" si="15"/>
        <v>3.78119951062008</v>
      </c>
      <c r="AI56" s="351">
        <f t="shared" si="15"/>
        <v>0</v>
      </c>
      <c r="AJ56" s="351">
        <f t="shared" si="15"/>
        <v>0</v>
      </c>
      <c r="AK56" s="351">
        <f t="shared" si="15"/>
        <v>0</v>
      </c>
      <c r="AL56" s="351">
        <f t="shared" si="16"/>
        <v>0</v>
      </c>
      <c r="AM56" s="368">
        <f t="shared" si="16"/>
        <v>171</v>
      </c>
      <c r="AN56" s="368">
        <f t="shared" si="16"/>
        <v>0</v>
      </c>
    </row>
    <row r="57" spans="1:40" s="200" customFormat="1" outlineLevel="1" x14ac:dyDescent="0.25">
      <c r="A57" s="14" t="s">
        <v>704</v>
      </c>
      <c r="B57" s="421" t="s">
        <v>706</v>
      </c>
      <c r="C57" s="390" t="s">
        <v>731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469"/>
      <c r="AF57" s="469"/>
      <c r="AG57" s="198"/>
      <c r="AH57" s="351">
        <f t="shared" si="15"/>
        <v>0</v>
      </c>
      <c r="AI57" s="351">
        <f t="shared" si="15"/>
        <v>0</v>
      </c>
      <c r="AJ57" s="351">
        <f t="shared" si="15"/>
        <v>0</v>
      </c>
      <c r="AK57" s="351">
        <f t="shared" si="15"/>
        <v>0</v>
      </c>
      <c r="AL57" s="351">
        <f t="shared" si="16"/>
        <v>0</v>
      </c>
      <c r="AM57" s="368">
        <f t="shared" si="16"/>
        <v>0</v>
      </c>
      <c r="AN57" s="368">
        <f t="shared" si="16"/>
        <v>0</v>
      </c>
    </row>
    <row r="58" spans="1:40" s="200" customFormat="1" outlineLevel="1" x14ac:dyDescent="0.25">
      <c r="A58" s="14" t="s">
        <v>705</v>
      </c>
      <c r="B58" s="421" t="s">
        <v>706</v>
      </c>
      <c r="C58" s="390" t="s">
        <v>732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469"/>
      <c r="AF58" s="469"/>
      <c r="AG58" s="198"/>
      <c r="AH58" s="351">
        <f t="shared" si="15"/>
        <v>0</v>
      </c>
      <c r="AI58" s="351">
        <f t="shared" si="15"/>
        <v>0</v>
      </c>
      <c r="AJ58" s="351">
        <f t="shared" si="15"/>
        <v>0</v>
      </c>
      <c r="AK58" s="351">
        <f t="shared" si="15"/>
        <v>0</v>
      </c>
      <c r="AL58" s="351">
        <f t="shared" si="16"/>
        <v>0</v>
      </c>
      <c r="AM58" s="368">
        <f t="shared" si="16"/>
        <v>0</v>
      </c>
      <c r="AN58" s="368">
        <f t="shared" si="16"/>
        <v>0</v>
      </c>
    </row>
    <row r="59" spans="1:40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469"/>
      <c r="AF59" s="469"/>
      <c r="AG59" s="198"/>
      <c r="AH59" s="198"/>
      <c r="AI59" s="198"/>
      <c r="AJ59" s="198"/>
      <c r="AK59" s="198"/>
      <c r="AL59" s="198"/>
      <c r="AM59" s="319"/>
      <c r="AN59" s="319"/>
    </row>
    <row r="60" spans="1:40" s="200" customFormat="1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469"/>
      <c r="AF60" s="469"/>
      <c r="AG60" s="198"/>
      <c r="AH60" s="198"/>
      <c r="AI60" s="198"/>
      <c r="AJ60" s="198"/>
      <c r="AK60" s="198"/>
      <c r="AL60" s="198"/>
      <c r="AM60" s="319"/>
      <c r="AN60" s="319"/>
    </row>
    <row r="61" spans="1:40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469"/>
      <c r="AF61" s="469"/>
      <c r="AG61" s="198"/>
      <c r="AH61" s="198"/>
      <c r="AI61" s="198"/>
      <c r="AJ61" s="198"/>
      <c r="AK61" s="198"/>
      <c r="AL61" s="198"/>
      <c r="AM61" s="319"/>
      <c r="AN61" s="319"/>
    </row>
    <row r="62" spans="1:40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AN62" si="17">E63</f>
        <v>0</v>
      </c>
      <c r="F62" s="198">
        <f t="shared" si="17"/>
        <v>0</v>
      </c>
      <c r="G62" s="198">
        <f t="shared" si="17"/>
        <v>0</v>
      </c>
      <c r="H62" s="198">
        <f t="shared" si="17"/>
        <v>0</v>
      </c>
      <c r="I62" s="198">
        <f t="shared" si="17"/>
        <v>0</v>
      </c>
      <c r="J62" s="198">
        <f t="shared" si="17"/>
        <v>0</v>
      </c>
      <c r="K62" s="198">
        <f t="shared" si="17"/>
        <v>0</v>
      </c>
      <c r="L62" s="198">
        <f t="shared" si="17"/>
        <v>0</v>
      </c>
      <c r="M62" s="198">
        <f t="shared" si="17"/>
        <v>0</v>
      </c>
      <c r="N62" s="198">
        <f t="shared" si="17"/>
        <v>0</v>
      </c>
      <c r="O62" s="198">
        <f t="shared" si="17"/>
        <v>0</v>
      </c>
      <c r="P62" s="198">
        <f t="shared" si="17"/>
        <v>0</v>
      </c>
      <c r="Q62" s="198">
        <f t="shared" si="17"/>
        <v>0</v>
      </c>
      <c r="R62" s="198">
        <f t="shared" si="17"/>
        <v>0</v>
      </c>
      <c r="S62" s="198">
        <f t="shared" si="17"/>
        <v>0</v>
      </c>
      <c r="T62" s="198">
        <f t="shared" si="17"/>
        <v>0</v>
      </c>
      <c r="U62" s="198">
        <f t="shared" si="17"/>
        <v>0</v>
      </c>
      <c r="V62" s="198">
        <f t="shared" si="17"/>
        <v>0</v>
      </c>
      <c r="W62" s="198">
        <f t="shared" si="17"/>
        <v>0</v>
      </c>
      <c r="X62" s="198">
        <f t="shared" si="17"/>
        <v>0</v>
      </c>
      <c r="Y62" s="198">
        <f t="shared" si="17"/>
        <v>0</v>
      </c>
      <c r="Z62" s="198">
        <f t="shared" si="17"/>
        <v>0</v>
      </c>
      <c r="AA62" s="198">
        <f t="shared" si="17"/>
        <v>0</v>
      </c>
      <c r="AB62" s="198">
        <f t="shared" si="17"/>
        <v>0</v>
      </c>
      <c r="AC62" s="198">
        <f t="shared" si="17"/>
        <v>0</v>
      </c>
      <c r="AD62" s="198">
        <f t="shared" si="17"/>
        <v>0</v>
      </c>
      <c r="AE62" s="469"/>
      <c r="AF62" s="469">
        <f t="shared" si="17"/>
        <v>0</v>
      </c>
      <c r="AG62" s="198">
        <f t="shared" si="17"/>
        <v>0</v>
      </c>
      <c r="AH62" s="198">
        <f t="shared" si="17"/>
        <v>0</v>
      </c>
      <c r="AI62" s="198">
        <f t="shared" si="17"/>
        <v>0</v>
      </c>
      <c r="AJ62" s="198">
        <f t="shared" si="17"/>
        <v>0</v>
      </c>
      <c r="AK62" s="198">
        <f t="shared" si="17"/>
        <v>0</v>
      </c>
      <c r="AL62" s="198">
        <f t="shared" si="17"/>
        <v>0</v>
      </c>
      <c r="AM62" s="319"/>
      <c r="AN62" s="319">
        <f t="shared" si="17"/>
        <v>0</v>
      </c>
    </row>
    <row r="63" spans="1:40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470"/>
      <c r="AF63" s="470"/>
      <c r="AG63" s="351"/>
      <c r="AH63" s="351"/>
      <c r="AI63" s="351"/>
      <c r="AJ63" s="351"/>
      <c r="AK63" s="351"/>
      <c r="AL63" s="351"/>
      <c r="AM63" s="368"/>
      <c r="AN63" s="368"/>
    </row>
    <row r="64" spans="1:40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5"/>
      <c r="AF64" s="205"/>
      <c r="AG64" s="206"/>
      <c r="AH64" s="206"/>
      <c r="AI64" s="206"/>
      <c r="AJ64" s="206"/>
      <c r="AK64" s="206"/>
      <c r="AL64" s="206"/>
      <c r="AM64" s="464"/>
      <c r="AN64" s="327"/>
    </row>
    <row r="65" spans="1:40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  <c r="AE65" s="50"/>
      <c r="AF65" s="50"/>
      <c r="AM65" s="328"/>
      <c r="AN65" s="328"/>
    </row>
    <row r="66" spans="1:40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AE66" s="50"/>
      <c r="AF66" s="50"/>
      <c r="AM66" s="328"/>
      <c r="AN66" s="328"/>
    </row>
    <row r="67" spans="1:40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  <c r="AE67" s="471"/>
      <c r="AF67" s="471"/>
      <c r="AM67" s="329"/>
      <c r="AN67" s="329"/>
    </row>
    <row r="68" spans="1:40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  <c r="AE68" s="50"/>
      <c r="AF68" s="50"/>
      <c r="AM68" s="328"/>
      <c r="AN68" s="328"/>
    </row>
    <row r="69" spans="1:40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  <c r="AE69" s="50"/>
      <c r="AF69" s="50"/>
      <c r="AM69" s="328"/>
      <c r="AN69" s="328"/>
    </row>
    <row r="70" spans="1:40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  <c r="AE70" s="472"/>
      <c r="AF70" s="472"/>
      <c r="AM70" s="330"/>
      <c r="AN70" s="330"/>
    </row>
    <row r="71" spans="1:40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  <c r="AE71" s="471"/>
      <c r="AF71" s="471"/>
      <c r="AM71" s="329"/>
      <c r="AN71" s="329"/>
    </row>
    <row r="72" spans="1:40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  <c r="AE72" s="471"/>
      <c r="AF72" s="471"/>
      <c r="AM72" s="329"/>
      <c r="AN72" s="329"/>
    </row>
    <row r="73" spans="1:40" s="310" customFormat="1" collapsed="1" x14ac:dyDescent="0.25">
      <c r="A73" s="20" t="s">
        <v>528</v>
      </c>
      <c r="B73" s="265" t="s">
        <v>529</v>
      </c>
      <c r="C73" s="307"/>
      <c r="D73" s="461">
        <f>SUM(D74:D75)</f>
        <v>0</v>
      </c>
      <c r="E73" s="461">
        <f t="shared" ref="E73:AN73" si="18">SUM(E74:E75)</f>
        <v>0</v>
      </c>
      <c r="F73" s="461">
        <f t="shared" si="18"/>
        <v>0</v>
      </c>
      <c r="G73" s="461">
        <f t="shared" si="18"/>
        <v>0</v>
      </c>
      <c r="H73" s="461">
        <f t="shared" si="18"/>
        <v>0</v>
      </c>
      <c r="I73" s="461">
        <f t="shared" si="18"/>
        <v>0</v>
      </c>
      <c r="J73" s="461">
        <f t="shared" si="18"/>
        <v>0</v>
      </c>
      <c r="K73" s="461">
        <f t="shared" si="18"/>
        <v>0</v>
      </c>
      <c r="L73" s="461">
        <f t="shared" si="18"/>
        <v>0</v>
      </c>
      <c r="M73" s="461">
        <f t="shared" si="18"/>
        <v>0</v>
      </c>
      <c r="N73" s="461">
        <f t="shared" si="18"/>
        <v>0</v>
      </c>
      <c r="O73" s="461">
        <f t="shared" si="18"/>
        <v>0</v>
      </c>
      <c r="P73" s="461">
        <f t="shared" si="18"/>
        <v>0</v>
      </c>
      <c r="Q73" s="461">
        <f t="shared" si="18"/>
        <v>0</v>
      </c>
      <c r="R73" s="461">
        <f t="shared" si="18"/>
        <v>0</v>
      </c>
      <c r="S73" s="461">
        <f t="shared" si="18"/>
        <v>0</v>
      </c>
      <c r="T73" s="461">
        <f t="shared" si="18"/>
        <v>0</v>
      </c>
      <c r="U73" s="461">
        <f t="shared" si="18"/>
        <v>0</v>
      </c>
      <c r="V73" s="461">
        <f t="shared" si="18"/>
        <v>0</v>
      </c>
      <c r="W73" s="461">
        <f t="shared" si="18"/>
        <v>0</v>
      </c>
      <c r="X73" s="461">
        <f t="shared" si="18"/>
        <v>0</v>
      </c>
      <c r="Y73" s="461">
        <f t="shared" si="18"/>
        <v>0</v>
      </c>
      <c r="Z73" s="461">
        <f t="shared" si="18"/>
        <v>6.3119269646350009</v>
      </c>
      <c r="AA73" s="461">
        <f t="shared" si="18"/>
        <v>0</v>
      </c>
      <c r="AB73" s="461">
        <f t="shared" si="18"/>
        <v>0</v>
      </c>
      <c r="AC73" s="461">
        <f t="shared" si="18"/>
        <v>0</v>
      </c>
      <c r="AD73" s="461">
        <f t="shared" si="18"/>
        <v>0</v>
      </c>
      <c r="AE73" s="308">
        <f t="shared" si="18"/>
        <v>0</v>
      </c>
      <c r="AF73" s="308">
        <f t="shared" si="18"/>
        <v>1</v>
      </c>
      <c r="AG73" s="461">
        <f t="shared" si="18"/>
        <v>0</v>
      </c>
      <c r="AH73" s="461">
        <f t="shared" si="18"/>
        <v>6.3119269646350009</v>
      </c>
      <c r="AI73" s="461">
        <f t="shared" si="18"/>
        <v>0</v>
      </c>
      <c r="AJ73" s="461">
        <f t="shared" si="18"/>
        <v>0</v>
      </c>
      <c r="AK73" s="461">
        <f t="shared" si="18"/>
        <v>0</v>
      </c>
      <c r="AL73" s="461">
        <f t="shared" si="18"/>
        <v>0</v>
      </c>
      <c r="AM73" s="331">
        <f t="shared" si="18"/>
        <v>0</v>
      </c>
      <c r="AN73" s="331">
        <f t="shared" si="18"/>
        <v>1</v>
      </c>
    </row>
    <row r="74" spans="1:40" s="345" customFormat="1" x14ac:dyDescent="0.25">
      <c r="A74" s="341" t="s">
        <v>530</v>
      </c>
      <c r="B74" s="419" t="s">
        <v>708</v>
      </c>
      <c r="C74" s="390" t="s">
        <v>733</v>
      </c>
      <c r="D74" s="358"/>
      <c r="E74" s="369"/>
      <c r="F74" s="369"/>
      <c r="G74" s="358"/>
      <c r="H74" s="358"/>
      <c r="I74" s="358"/>
      <c r="J74" s="363"/>
      <c r="K74" s="358"/>
      <c r="L74" s="358"/>
      <c r="M74" s="363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>
        <f>Ф4!BA74</f>
        <v>6.3119269646350009</v>
      </c>
      <c r="AA74" s="358">
        <f>Ф4!BB74</f>
        <v>0</v>
      </c>
      <c r="AB74" s="358">
        <f>Ф4!BC74</f>
        <v>0</v>
      </c>
      <c r="AC74" s="358">
        <f>Ф4!BD74</f>
        <v>0</v>
      </c>
      <c r="AD74" s="358">
        <f>Ф4!BE74</f>
        <v>0</v>
      </c>
      <c r="AE74" s="369">
        <f>Ф4!BF74</f>
        <v>0</v>
      </c>
      <c r="AF74" s="369">
        <f>Ф4!BG74</f>
        <v>1</v>
      </c>
      <c r="AG74" s="358"/>
      <c r="AH74" s="351">
        <f t="shared" ref="AH74:AL75" si="19">E74+L74+S74+Z74</f>
        <v>6.3119269646350009</v>
      </c>
      <c r="AI74" s="351">
        <f t="shared" si="19"/>
        <v>0</v>
      </c>
      <c r="AJ74" s="351">
        <f t="shared" si="19"/>
        <v>0</v>
      </c>
      <c r="AK74" s="351">
        <f t="shared" si="19"/>
        <v>0</v>
      </c>
      <c r="AL74" s="351">
        <f t="shared" si="19"/>
        <v>0</v>
      </c>
      <c r="AM74" s="368">
        <f t="shared" ref="AM74:AN75" si="20">J74+Q74+X74+AE74</f>
        <v>0</v>
      </c>
      <c r="AN74" s="368">
        <f t="shared" si="20"/>
        <v>1</v>
      </c>
    </row>
    <row r="75" spans="1:40" s="345" customFormat="1" x14ac:dyDescent="0.25">
      <c r="A75" s="341" t="s">
        <v>707</v>
      </c>
      <c r="B75" s="419" t="s">
        <v>709</v>
      </c>
      <c r="C75" s="390" t="s">
        <v>734</v>
      </c>
      <c r="D75" s="358"/>
      <c r="E75" s="369"/>
      <c r="F75" s="369"/>
      <c r="G75" s="358"/>
      <c r="H75" s="358"/>
      <c r="I75" s="358"/>
      <c r="J75" s="363"/>
      <c r="K75" s="358"/>
      <c r="L75" s="358"/>
      <c r="M75" s="363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69"/>
      <c r="AF75" s="369"/>
      <c r="AG75" s="358"/>
      <c r="AH75" s="351">
        <f t="shared" si="19"/>
        <v>0</v>
      </c>
      <c r="AI75" s="351">
        <f t="shared" si="19"/>
        <v>0</v>
      </c>
      <c r="AJ75" s="351">
        <f t="shared" si="19"/>
        <v>0</v>
      </c>
      <c r="AK75" s="351">
        <f t="shared" si="19"/>
        <v>0</v>
      </c>
      <c r="AL75" s="351">
        <f t="shared" si="19"/>
        <v>0</v>
      </c>
      <c r="AM75" s="368">
        <f t="shared" si="20"/>
        <v>0</v>
      </c>
      <c r="AN75" s="368">
        <f t="shared" si="20"/>
        <v>0</v>
      </c>
    </row>
    <row r="78" spans="1:40" ht="18.75" x14ac:dyDescent="0.25">
      <c r="B78" s="278" t="s">
        <v>77</v>
      </c>
      <c r="C78" s="279"/>
      <c r="D78" s="279"/>
      <c r="E78" s="279" t="s">
        <v>668</v>
      </c>
    </row>
    <row r="79" spans="1:40" ht="18.75" x14ac:dyDescent="0.25">
      <c r="B79" s="278"/>
      <c r="C79" s="279"/>
      <c r="D79" s="279"/>
      <c r="E79" s="279"/>
    </row>
    <row r="80" spans="1:40" ht="18.75" x14ac:dyDescent="0.25">
      <c r="B80" s="278"/>
      <c r="C80" s="279"/>
      <c r="D80" s="279"/>
      <c r="E80" s="279"/>
    </row>
    <row r="83" spans="1:34" s="41" customFormat="1" x14ac:dyDescent="0.25">
      <c r="A83" s="613" t="s">
        <v>207</v>
      </c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136"/>
      <c r="R83" s="426"/>
      <c r="S83" s="426"/>
      <c r="T83" s="426"/>
      <c r="U83" s="426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</row>
    <row r="84" spans="1:34" s="41" customFormat="1" x14ac:dyDescent="0.25">
      <c r="A84" s="614" t="s">
        <v>208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425"/>
      <c r="S84" s="425"/>
      <c r="T84" s="425"/>
      <c r="U84" s="425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</row>
    <row r="85" spans="1:34" s="41" customFormat="1" x14ac:dyDescent="0.25">
      <c r="A85" s="614" t="s">
        <v>209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139"/>
      <c r="R85" s="425"/>
      <c r="S85" s="425"/>
      <c r="T85" s="425"/>
      <c r="U85" s="425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</row>
    <row r="86" spans="1:34" s="41" customFormat="1" x14ac:dyDescent="0.25">
      <c r="A86" s="614" t="s">
        <v>210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139"/>
      <c r="R86" s="425"/>
      <c r="S86" s="425"/>
      <c r="T86" s="425"/>
      <c r="U86" s="425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</row>
  </sheetData>
  <mergeCells count="26">
    <mergeCell ref="A83:P83"/>
    <mergeCell ref="A84:P84"/>
    <mergeCell ref="A85:P85"/>
    <mergeCell ref="A86:P86"/>
    <mergeCell ref="AG13:AN13"/>
    <mergeCell ref="E14:J14"/>
    <mergeCell ref="L14:Q14"/>
    <mergeCell ref="S14:X14"/>
    <mergeCell ref="Z14:AF14"/>
    <mergeCell ref="AH14:AN14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9:AN9"/>
    <mergeCell ref="A1:AN1"/>
    <mergeCell ref="A2:AN2"/>
    <mergeCell ref="A4:AN4"/>
    <mergeCell ref="A5:AN5"/>
    <mergeCell ref="A7:AN7"/>
  </mergeCells>
  <pageMargins left="0.7" right="0.7" top="0.75" bottom="0.75" header="0.3" footer="0.3"/>
  <pageSetup paperSize="8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6"/>
  <sheetViews>
    <sheetView topLeftCell="A16" zoomScale="59" zoomScaleNormal="59" workbookViewId="0">
      <selection activeCell="Q37" sqref="Q37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50" bestFit="1" customWidth="1"/>
    <col min="6" max="6" width="6.7109375" style="50" bestFit="1" customWidth="1"/>
    <col min="7" max="9" width="6.7109375" bestFit="1" customWidth="1"/>
    <col min="10" max="10" width="6.7109375" style="55" bestFit="1" customWidth="1"/>
    <col min="11" max="11" width="18.85546875" customWidth="1"/>
    <col min="12" max="12" width="7.42578125" bestFit="1" customWidth="1"/>
    <col min="13" max="13" width="6.7109375" style="55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10.28515625" customWidth="1"/>
    <col min="27" max="28" width="6.7109375" bestFit="1" customWidth="1"/>
    <col min="29" max="30" width="10" customWidth="1"/>
    <col min="31" max="31" width="6.7109375" customWidth="1"/>
    <col min="32" max="32" width="6.7109375" bestFit="1" customWidth="1"/>
    <col min="33" max="33" width="19" customWidth="1"/>
    <col min="34" max="34" width="9.28515625" customWidth="1"/>
    <col min="35" max="36" width="6.7109375" bestFit="1" customWidth="1"/>
    <col min="37" max="38" width="8.7109375" customWidth="1"/>
    <col min="39" max="39" width="6.7109375" customWidth="1"/>
    <col min="40" max="40" width="6.7109375" bestFit="1" customWidth="1"/>
  </cols>
  <sheetData>
    <row r="1" spans="1:40" s="41" customFormat="1" ht="18.75" x14ac:dyDescent="0.3">
      <c r="A1" s="647" t="s">
        <v>313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</row>
    <row r="2" spans="1:40" s="41" customFormat="1" ht="18.75" x14ac:dyDescent="0.3">
      <c r="A2" s="605" t="s">
        <v>771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</row>
    <row r="3" spans="1:40" s="41" customFormat="1" x14ac:dyDescent="0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</row>
    <row r="4" spans="1:40" s="41" customFormat="1" ht="18.75" x14ac:dyDescent="0.25">
      <c r="A4" s="603" t="s">
        <v>123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</row>
    <row r="5" spans="1:40" s="41" customFormat="1" x14ac:dyDescent="0.25">
      <c r="A5" s="606" t="s">
        <v>124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</row>
    <row r="6" spans="1:40" s="41" customFormat="1" x14ac:dyDescent="0.25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</row>
    <row r="7" spans="1:40" s="41" customFormat="1" x14ac:dyDescent="0.25">
      <c r="A7" s="601" t="s">
        <v>768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</row>
    <row r="8" spans="1:40" s="41" customFormat="1" ht="18.75" x14ac:dyDescent="0.3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</row>
    <row r="9" spans="1:40" s="41" customFormat="1" ht="18.75" x14ac:dyDescent="0.25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</row>
    <row r="10" spans="1:40" s="41" customFormat="1" x14ac:dyDescent="0.25">
      <c r="A10" s="642" t="s">
        <v>226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</row>
    <row r="11" spans="1:40" s="41" customFormat="1" x14ac:dyDescent="0.25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</row>
    <row r="12" spans="1:40" s="41" customFormat="1" x14ac:dyDescent="0.25">
      <c r="A12" s="644" t="s">
        <v>4</v>
      </c>
      <c r="B12" s="644" t="s">
        <v>5</v>
      </c>
      <c r="C12" s="644" t="s">
        <v>6</v>
      </c>
      <c r="D12" s="645" t="s">
        <v>314</v>
      </c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</row>
    <row r="13" spans="1:40" s="41" customFormat="1" x14ac:dyDescent="0.25">
      <c r="A13" s="644"/>
      <c r="B13" s="644"/>
      <c r="C13" s="644"/>
      <c r="D13" s="645" t="s">
        <v>315</v>
      </c>
      <c r="E13" s="645"/>
      <c r="F13" s="645"/>
      <c r="G13" s="645"/>
      <c r="H13" s="645"/>
      <c r="I13" s="645"/>
      <c r="J13" s="645"/>
      <c r="K13" s="645" t="s">
        <v>316</v>
      </c>
      <c r="L13" s="645"/>
      <c r="M13" s="645"/>
      <c r="N13" s="645"/>
      <c r="O13" s="645"/>
      <c r="P13" s="645"/>
      <c r="Q13" s="645"/>
      <c r="R13" s="645" t="s">
        <v>317</v>
      </c>
      <c r="S13" s="645"/>
      <c r="T13" s="645"/>
      <c r="U13" s="645"/>
      <c r="V13" s="645"/>
      <c r="W13" s="645"/>
      <c r="X13" s="645"/>
      <c r="Y13" s="645" t="s">
        <v>318</v>
      </c>
      <c r="Z13" s="645"/>
      <c r="AA13" s="645"/>
      <c r="AB13" s="645"/>
      <c r="AC13" s="645"/>
      <c r="AD13" s="645"/>
      <c r="AE13" s="645"/>
      <c r="AF13" s="645"/>
      <c r="AG13" s="644" t="s">
        <v>319</v>
      </c>
      <c r="AH13" s="644"/>
      <c r="AI13" s="644"/>
      <c r="AJ13" s="644"/>
      <c r="AK13" s="644"/>
      <c r="AL13" s="644"/>
      <c r="AM13" s="644"/>
      <c r="AN13" s="644"/>
    </row>
    <row r="14" spans="1:40" s="41" customFormat="1" ht="31.5" x14ac:dyDescent="0.25">
      <c r="A14" s="644"/>
      <c r="B14" s="644"/>
      <c r="C14" s="644"/>
      <c r="D14" s="431" t="s">
        <v>234</v>
      </c>
      <c r="E14" s="645" t="s">
        <v>235</v>
      </c>
      <c r="F14" s="645"/>
      <c r="G14" s="645"/>
      <c r="H14" s="645"/>
      <c r="I14" s="645"/>
      <c r="J14" s="645"/>
      <c r="K14" s="431" t="s">
        <v>234</v>
      </c>
      <c r="L14" s="644" t="s">
        <v>235</v>
      </c>
      <c r="M14" s="644"/>
      <c r="N14" s="644"/>
      <c r="O14" s="644"/>
      <c r="P14" s="644"/>
      <c r="Q14" s="644"/>
      <c r="R14" s="431" t="s">
        <v>234</v>
      </c>
      <c r="S14" s="644" t="s">
        <v>235</v>
      </c>
      <c r="T14" s="644"/>
      <c r="U14" s="644"/>
      <c r="V14" s="644"/>
      <c r="W14" s="644"/>
      <c r="X14" s="644"/>
      <c r="Y14" s="431" t="s">
        <v>234</v>
      </c>
      <c r="Z14" s="644" t="s">
        <v>235</v>
      </c>
      <c r="AA14" s="644"/>
      <c r="AB14" s="644"/>
      <c r="AC14" s="644"/>
      <c r="AD14" s="644"/>
      <c r="AE14" s="644"/>
      <c r="AF14" s="644"/>
      <c r="AG14" s="431" t="s">
        <v>234</v>
      </c>
      <c r="AH14" s="644" t="s">
        <v>235</v>
      </c>
      <c r="AI14" s="644"/>
      <c r="AJ14" s="644"/>
      <c r="AK14" s="644"/>
      <c r="AL14" s="644"/>
      <c r="AM14" s="644"/>
      <c r="AN14" s="644"/>
    </row>
    <row r="15" spans="1:40" s="41" customFormat="1" ht="66" x14ac:dyDescent="0.25">
      <c r="A15" s="644"/>
      <c r="B15" s="644"/>
      <c r="C15" s="644"/>
      <c r="D15" s="428" t="s">
        <v>236</v>
      </c>
      <c r="E15" s="428" t="s">
        <v>236</v>
      </c>
      <c r="F15" s="429" t="s">
        <v>237</v>
      </c>
      <c r="G15" s="429" t="s">
        <v>238</v>
      </c>
      <c r="H15" s="429" t="s">
        <v>239</v>
      </c>
      <c r="I15" s="429" t="s">
        <v>240</v>
      </c>
      <c r="J15" s="429" t="s">
        <v>241</v>
      </c>
      <c r="K15" s="428" t="s">
        <v>236</v>
      </c>
      <c r="L15" s="428" t="s">
        <v>236</v>
      </c>
      <c r="M15" s="429" t="s">
        <v>237</v>
      </c>
      <c r="N15" s="429" t="s">
        <v>238</v>
      </c>
      <c r="O15" s="429" t="s">
        <v>239</v>
      </c>
      <c r="P15" s="429" t="s">
        <v>240</v>
      </c>
      <c r="Q15" s="429" t="s">
        <v>241</v>
      </c>
      <c r="R15" s="428" t="s">
        <v>236</v>
      </c>
      <c r="S15" s="428" t="s">
        <v>236</v>
      </c>
      <c r="T15" s="429" t="s">
        <v>237</v>
      </c>
      <c r="U15" s="429" t="s">
        <v>238</v>
      </c>
      <c r="V15" s="429" t="s">
        <v>239</v>
      </c>
      <c r="W15" s="429" t="s">
        <v>240</v>
      </c>
      <c r="X15" s="429" t="s">
        <v>241</v>
      </c>
      <c r="Y15" s="428" t="s">
        <v>236</v>
      </c>
      <c r="Z15" s="428" t="s">
        <v>236</v>
      </c>
      <c r="AA15" s="429" t="s">
        <v>237</v>
      </c>
      <c r="AB15" s="429" t="s">
        <v>238</v>
      </c>
      <c r="AC15" s="429" t="s">
        <v>239</v>
      </c>
      <c r="AD15" s="429" t="s">
        <v>240</v>
      </c>
      <c r="AE15" s="429" t="s">
        <v>572</v>
      </c>
      <c r="AF15" s="429" t="s">
        <v>573</v>
      </c>
      <c r="AG15" s="428" t="s">
        <v>236</v>
      </c>
      <c r="AH15" s="428" t="s">
        <v>236</v>
      </c>
      <c r="AI15" s="429" t="s">
        <v>237</v>
      </c>
      <c r="AJ15" s="429" t="s">
        <v>238</v>
      </c>
      <c r="AK15" s="429" t="s">
        <v>239</v>
      </c>
      <c r="AL15" s="429" t="s">
        <v>240</v>
      </c>
      <c r="AM15" s="429" t="s">
        <v>572</v>
      </c>
      <c r="AN15" s="429" t="s">
        <v>573</v>
      </c>
    </row>
    <row r="16" spans="1:40" s="41" customFormat="1" x14ac:dyDescent="0.25">
      <c r="A16" s="430">
        <v>1</v>
      </c>
      <c r="B16" s="430">
        <v>2</v>
      </c>
      <c r="C16" s="430">
        <v>3</v>
      </c>
      <c r="D16" s="178" t="s">
        <v>320</v>
      </c>
      <c r="E16" s="178" t="s">
        <v>321</v>
      </c>
      <c r="F16" s="178" t="s">
        <v>322</v>
      </c>
      <c r="G16" s="178" t="s">
        <v>323</v>
      </c>
      <c r="H16" s="178" t="s">
        <v>324</v>
      </c>
      <c r="I16" s="178" t="s">
        <v>325</v>
      </c>
      <c r="J16" s="178" t="s">
        <v>326</v>
      </c>
      <c r="K16" s="178" t="s">
        <v>327</v>
      </c>
      <c r="L16" s="178" t="s">
        <v>328</v>
      </c>
      <c r="M16" s="178" t="s">
        <v>329</v>
      </c>
      <c r="N16" s="178" t="s">
        <v>330</v>
      </c>
      <c r="O16" s="178" t="s">
        <v>331</v>
      </c>
      <c r="P16" s="178" t="s">
        <v>332</v>
      </c>
      <c r="Q16" s="178" t="s">
        <v>333</v>
      </c>
      <c r="R16" s="178" t="s">
        <v>334</v>
      </c>
      <c r="S16" s="178" t="s">
        <v>335</v>
      </c>
      <c r="T16" s="178" t="s">
        <v>336</v>
      </c>
      <c r="U16" s="178" t="s">
        <v>337</v>
      </c>
      <c r="V16" s="178" t="s">
        <v>338</v>
      </c>
      <c r="W16" s="178" t="s">
        <v>339</v>
      </c>
      <c r="X16" s="178" t="s">
        <v>340</v>
      </c>
      <c r="Y16" s="178" t="s">
        <v>341</v>
      </c>
      <c r="Z16" s="178" t="s">
        <v>342</v>
      </c>
      <c r="AA16" s="178" t="s">
        <v>343</v>
      </c>
      <c r="AB16" s="178" t="s">
        <v>344</v>
      </c>
      <c r="AC16" s="178" t="s">
        <v>345</v>
      </c>
      <c r="AD16" s="178" t="s">
        <v>346</v>
      </c>
      <c r="AE16" s="178"/>
      <c r="AF16" s="178" t="s">
        <v>347</v>
      </c>
      <c r="AG16" s="178" t="s">
        <v>348</v>
      </c>
      <c r="AH16" s="178" t="s">
        <v>349</v>
      </c>
      <c r="AI16" s="178" t="s">
        <v>350</v>
      </c>
      <c r="AJ16" s="178" t="s">
        <v>351</v>
      </c>
      <c r="AK16" s="178" t="s">
        <v>312</v>
      </c>
      <c r="AL16" s="178" t="s">
        <v>352</v>
      </c>
      <c r="AM16" s="178"/>
      <c r="AN16" s="178" t="s">
        <v>353</v>
      </c>
    </row>
    <row r="17" spans="1:40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0</v>
      </c>
      <c r="E17" s="184">
        <f t="shared" ref="E17:AN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  <c r="L17" s="184">
        <f t="shared" si="0"/>
        <v>0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184">
        <f t="shared" si="0"/>
        <v>0</v>
      </c>
      <c r="Q17" s="184">
        <f t="shared" si="0"/>
        <v>0</v>
      </c>
      <c r="R17" s="184">
        <f t="shared" si="0"/>
        <v>0</v>
      </c>
      <c r="S17" s="184">
        <f t="shared" si="0"/>
        <v>0</v>
      </c>
      <c r="T17" s="184">
        <f t="shared" si="0"/>
        <v>0</v>
      </c>
      <c r="U17" s="184">
        <f t="shared" si="0"/>
        <v>0</v>
      </c>
      <c r="V17" s="184">
        <f t="shared" si="0"/>
        <v>0</v>
      </c>
      <c r="W17" s="184">
        <f t="shared" si="0"/>
        <v>0</v>
      </c>
      <c r="X17" s="184">
        <f t="shared" si="0"/>
        <v>0</v>
      </c>
      <c r="Y17" s="184">
        <f t="shared" si="0"/>
        <v>0</v>
      </c>
      <c r="Z17" s="184">
        <f t="shared" si="0"/>
        <v>17.754960883375936</v>
      </c>
      <c r="AA17" s="184">
        <f t="shared" si="0"/>
        <v>0</v>
      </c>
      <c r="AB17" s="184">
        <f t="shared" si="0"/>
        <v>0</v>
      </c>
      <c r="AC17" s="184">
        <f t="shared" si="0"/>
        <v>2.0659999999999998</v>
      </c>
      <c r="AD17" s="184">
        <f t="shared" si="0"/>
        <v>0.66</v>
      </c>
      <c r="AE17" s="473">
        <f t="shared" si="0"/>
        <v>201</v>
      </c>
      <c r="AF17" s="473">
        <f t="shared" si="0"/>
        <v>1</v>
      </c>
      <c r="AG17" s="184">
        <f t="shared" si="0"/>
        <v>0</v>
      </c>
      <c r="AH17" s="184">
        <f t="shared" si="0"/>
        <v>17.754960883375936</v>
      </c>
      <c r="AI17" s="184">
        <f t="shared" si="0"/>
        <v>0</v>
      </c>
      <c r="AJ17" s="184">
        <f t="shared" si="0"/>
        <v>0</v>
      </c>
      <c r="AK17" s="184">
        <f t="shared" si="0"/>
        <v>2.0659999999999998</v>
      </c>
      <c r="AL17" s="184">
        <f t="shared" si="0"/>
        <v>0.66</v>
      </c>
      <c r="AM17" s="473">
        <f t="shared" si="0"/>
        <v>201</v>
      </c>
      <c r="AN17" s="473">
        <f t="shared" si="0"/>
        <v>1</v>
      </c>
    </row>
    <row r="18" spans="1:40" s="189" customFormat="1" x14ac:dyDescent="0.25">
      <c r="A18" s="186" t="s">
        <v>81</v>
      </c>
      <c r="B18" s="9" t="s">
        <v>36</v>
      </c>
      <c r="C18" s="187">
        <v>0</v>
      </c>
      <c r="D18" s="187">
        <f>D38+D73</f>
        <v>0</v>
      </c>
      <c r="E18" s="187">
        <f t="shared" ref="E18:AN18" si="1">E38+E73</f>
        <v>0</v>
      </c>
      <c r="F18" s="187">
        <f t="shared" si="1"/>
        <v>0</v>
      </c>
      <c r="G18" s="187">
        <f t="shared" si="1"/>
        <v>0</v>
      </c>
      <c r="H18" s="187">
        <f t="shared" si="1"/>
        <v>0</v>
      </c>
      <c r="I18" s="187">
        <f t="shared" si="1"/>
        <v>0</v>
      </c>
      <c r="J18" s="187">
        <f t="shared" si="1"/>
        <v>0</v>
      </c>
      <c r="K18" s="187">
        <f t="shared" si="1"/>
        <v>0</v>
      </c>
      <c r="L18" s="187">
        <f t="shared" si="1"/>
        <v>0</v>
      </c>
      <c r="M18" s="187">
        <f t="shared" si="1"/>
        <v>0</v>
      </c>
      <c r="N18" s="187">
        <f t="shared" si="1"/>
        <v>0</v>
      </c>
      <c r="O18" s="187">
        <f t="shared" si="1"/>
        <v>0</v>
      </c>
      <c r="P18" s="187">
        <f t="shared" si="1"/>
        <v>0</v>
      </c>
      <c r="Q18" s="187">
        <f t="shared" si="1"/>
        <v>0</v>
      </c>
      <c r="R18" s="187">
        <f t="shared" si="1"/>
        <v>0</v>
      </c>
      <c r="S18" s="187">
        <f t="shared" si="1"/>
        <v>0</v>
      </c>
      <c r="T18" s="187">
        <f t="shared" si="1"/>
        <v>0</v>
      </c>
      <c r="U18" s="187">
        <f t="shared" si="1"/>
        <v>0</v>
      </c>
      <c r="V18" s="187">
        <f t="shared" si="1"/>
        <v>0</v>
      </c>
      <c r="W18" s="187">
        <f t="shared" si="1"/>
        <v>0</v>
      </c>
      <c r="X18" s="187">
        <f t="shared" si="1"/>
        <v>0</v>
      </c>
      <c r="Y18" s="187">
        <f t="shared" si="1"/>
        <v>0</v>
      </c>
      <c r="Z18" s="187">
        <f t="shared" si="1"/>
        <v>17.754960883375936</v>
      </c>
      <c r="AA18" s="187">
        <f t="shared" si="1"/>
        <v>0</v>
      </c>
      <c r="AB18" s="187">
        <f t="shared" si="1"/>
        <v>0</v>
      </c>
      <c r="AC18" s="187">
        <f t="shared" si="1"/>
        <v>2.0659999999999998</v>
      </c>
      <c r="AD18" s="187">
        <f t="shared" si="1"/>
        <v>0.66</v>
      </c>
      <c r="AE18" s="474">
        <f t="shared" si="1"/>
        <v>201</v>
      </c>
      <c r="AF18" s="474">
        <f t="shared" si="1"/>
        <v>1</v>
      </c>
      <c r="AG18" s="187">
        <f t="shared" si="1"/>
        <v>0</v>
      </c>
      <c r="AH18" s="187">
        <f t="shared" si="1"/>
        <v>17.754960883375936</v>
      </c>
      <c r="AI18" s="187">
        <f t="shared" si="1"/>
        <v>0</v>
      </c>
      <c r="AJ18" s="187">
        <f t="shared" si="1"/>
        <v>0</v>
      </c>
      <c r="AK18" s="187">
        <f t="shared" si="1"/>
        <v>2.0659999999999998</v>
      </c>
      <c r="AL18" s="187">
        <f t="shared" si="1"/>
        <v>0.66</v>
      </c>
      <c r="AM18" s="474">
        <f t="shared" si="1"/>
        <v>201</v>
      </c>
      <c r="AN18" s="474">
        <f t="shared" si="1"/>
        <v>1</v>
      </c>
    </row>
    <row r="19" spans="1:40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AN19" si="2">E36</f>
        <v>0</v>
      </c>
      <c r="F19" s="184">
        <f t="shared" si="2"/>
        <v>0</v>
      </c>
      <c r="G19" s="184">
        <f t="shared" si="2"/>
        <v>0</v>
      </c>
      <c r="H19" s="184">
        <f t="shared" si="2"/>
        <v>0</v>
      </c>
      <c r="I19" s="184">
        <f t="shared" si="2"/>
        <v>0</v>
      </c>
      <c r="J19" s="184">
        <f t="shared" si="2"/>
        <v>0</v>
      </c>
      <c r="K19" s="184">
        <f t="shared" si="2"/>
        <v>0</v>
      </c>
      <c r="L19" s="184">
        <f t="shared" si="2"/>
        <v>0</v>
      </c>
      <c r="M19" s="184">
        <f t="shared" si="2"/>
        <v>0</v>
      </c>
      <c r="N19" s="184">
        <f t="shared" si="2"/>
        <v>0</v>
      </c>
      <c r="O19" s="184">
        <f t="shared" si="2"/>
        <v>0</v>
      </c>
      <c r="P19" s="184">
        <f t="shared" si="2"/>
        <v>0</v>
      </c>
      <c r="Q19" s="184">
        <f t="shared" si="2"/>
        <v>0</v>
      </c>
      <c r="R19" s="184">
        <f t="shared" si="2"/>
        <v>0</v>
      </c>
      <c r="S19" s="184">
        <f t="shared" si="2"/>
        <v>0</v>
      </c>
      <c r="T19" s="184">
        <f t="shared" si="2"/>
        <v>0</v>
      </c>
      <c r="U19" s="184">
        <f t="shared" si="2"/>
        <v>0</v>
      </c>
      <c r="V19" s="184">
        <f t="shared" si="2"/>
        <v>0</v>
      </c>
      <c r="W19" s="184">
        <f t="shared" si="2"/>
        <v>0</v>
      </c>
      <c r="X19" s="184">
        <f t="shared" si="2"/>
        <v>0</v>
      </c>
      <c r="Y19" s="184">
        <f t="shared" si="2"/>
        <v>0</v>
      </c>
      <c r="Z19" s="184">
        <f t="shared" si="2"/>
        <v>0</v>
      </c>
      <c r="AA19" s="184">
        <f t="shared" si="2"/>
        <v>0</v>
      </c>
      <c r="AB19" s="184">
        <f t="shared" si="2"/>
        <v>0</v>
      </c>
      <c r="AC19" s="184">
        <f t="shared" si="2"/>
        <v>0</v>
      </c>
      <c r="AD19" s="184">
        <f t="shared" si="2"/>
        <v>0</v>
      </c>
      <c r="AE19" s="473"/>
      <c r="AF19" s="473">
        <f t="shared" si="2"/>
        <v>0</v>
      </c>
      <c r="AG19" s="184">
        <f t="shared" si="2"/>
        <v>0</v>
      </c>
      <c r="AH19" s="184">
        <f t="shared" si="2"/>
        <v>0</v>
      </c>
      <c r="AI19" s="184">
        <f t="shared" si="2"/>
        <v>0</v>
      </c>
      <c r="AJ19" s="184">
        <f t="shared" si="2"/>
        <v>0</v>
      </c>
      <c r="AK19" s="184">
        <f t="shared" si="2"/>
        <v>0</v>
      </c>
      <c r="AL19" s="184">
        <f t="shared" si="2"/>
        <v>0</v>
      </c>
      <c r="AM19" s="473"/>
      <c r="AN19" s="473">
        <f t="shared" si="2"/>
        <v>0</v>
      </c>
    </row>
    <row r="20" spans="1:40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475"/>
      <c r="AF20" s="475"/>
      <c r="AG20" s="191"/>
      <c r="AH20" s="191"/>
      <c r="AI20" s="191"/>
      <c r="AJ20" s="191"/>
      <c r="AK20" s="191"/>
      <c r="AL20" s="191"/>
      <c r="AM20" s="475"/>
      <c r="AN20" s="475"/>
    </row>
    <row r="21" spans="1:40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474"/>
      <c r="AF21" s="474"/>
      <c r="AG21" s="187"/>
      <c r="AH21" s="187"/>
      <c r="AI21" s="187"/>
      <c r="AJ21" s="187"/>
      <c r="AK21" s="187"/>
      <c r="AL21" s="187"/>
      <c r="AM21" s="474"/>
      <c r="AN21" s="474"/>
    </row>
    <row r="22" spans="1:40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474"/>
      <c r="AF22" s="474"/>
      <c r="AG22" s="187"/>
      <c r="AH22" s="187"/>
      <c r="AI22" s="187"/>
      <c r="AJ22" s="187"/>
      <c r="AK22" s="187"/>
      <c r="AL22" s="187"/>
      <c r="AM22" s="474"/>
      <c r="AN22" s="474"/>
    </row>
    <row r="23" spans="1:40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474"/>
      <c r="AF23" s="474"/>
      <c r="AG23" s="187"/>
      <c r="AH23" s="187"/>
      <c r="AI23" s="187"/>
      <c r="AJ23" s="187"/>
      <c r="AK23" s="187"/>
      <c r="AL23" s="187"/>
      <c r="AM23" s="474"/>
      <c r="AN23" s="474"/>
    </row>
    <row r="24" spans="1:40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475"/>
      <c r="AF24" s="475"/>
      <c r="AG24" s="191"/>
      <c r="AH24" s="191"/>
      <c r="AI24" s="191"/>
      <c r="AJ24" s="191"/>
      <c r="AK24" s="191"/>
      <c r="AL24" s="191"/>
      <c r="AM24" s="475"/>
      <c r="AN24" s="475"/>
    </row>
    <row r="25" spans="1:40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474"/>
      <c r="AF25" s="474"/>
      <c r="AG25" s="187"/>
      <c r="AH25" s="187"/>
      <c r="AI25" s="187"/>
      <c r="AJ25" s="187"/>
      <c r="AK25" s="187"/>
      <c r="AL25" s="187"/>
      <c r="AM25" s="474"/>
      <c r="AN25" s="474"/>
    </row>
    <row r="26" spans="1:40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474"/>
      <c r="AF26" s="474"/>
      <c r="AG26" s="187"/>
      <c r="AH26" s="187"/>
      <c r="AI26" s="187"/>
      <c r="AJ26" s="187"/>
      <c r="AK26" s="187"/>
      <c r="AL26" s="187"/>
      <c r="AM26" s="474"/>
      <c r="AN26" s="474"/>
    </row>
    <row r="27" spans="1:40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475"/>
      <c r="AF27" s="475"/>
      <c r="AG27" s="191"/>
      <c r="AH27" s="191"/>
      <c r="AI27" s="191"/>
      <c r="AJ27" s="191"/>
      <c r="AK27" s="191"/>
      <c r="AL27" s="191"/>
      <c r="AM27" s="475"/>
      <c r="AN27" s="475"/>
    </row>
    <row r="28" spans="1:40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474"/>
      <c r="AF28" s="474"/>
      <c r="AG28" s="187"/>
      <c r="AH28" s="187"/>
      <c r="AI28" s="187"/>
      <c r="AJ28" s="187"/>
      <c r="AK28" s="187"/>
      <c r="AL28" s="187"/>
      <c r="AM28" s="474"/>
      <c r="AN28" s="474"/>
    </row>
    <row r="29" spans="1:40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474"/>
      <c r="AF29" s="474"/>
      <c r="AG29" s="187"/>
      <c r="AH29" s="187"/>
      <c r="AI29" s="187"/>
      <c r="AJ29" s="187"/>
      <c r="AK29" s="187"/>
      <c r="AL29" s="187"/>
      <c r="AM29" s="474"/>
      <c r="AN29" s="474"/>
    </row>
    <row r="30" spans="1:40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474"/>
      <c r="AF30" s="474"/>
      <c r="AG30" s="187"/>
      <c r="AH30" s="187"/>
      <c r="AI30" s="187"/>
      <c r="AJ30" s="187"/>
      <c r="AK30" s="187"/>
      <c r="AL30" s="187"/>
      <c r="AM30" s="474"/>
      <c r="AN30" s="474"/>
    </row>
    <row r="31" spans="1:40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474"/>
      <c r="AF31" s="474"/>
      <c r="AG31" s="187"/>
      <c r="AH31" s="187"/>
      <c r="AI31" s="187"/>
      <c r="AJ31" s="187"/>
      <c r="AK31" s="187"/>
      <c r="AL31" s="187"/>
      <c r="AM31" s="474"/>
      <c r="AN31" s="474"/>
    </row>
    <row r="32" spans="1:40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474"/>
      <c r="AF32" s="474"/>
      <c r="AG32" s="187"/>
      <c r="AH32" s="187"/>
      <c r="AI32" s="187"/>
      <c r="AJ32" s="187"/>
      <c r="AK32" s="187"/>
      <c r="AL32" s="187"/>
      <c r="AM32" s="474"/>
      <c r="AN32" s="474"/>
    </row>
    <row r="33" spans="1:40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474"/>
      <c r="AF33" s="474"/>
      <c r="AG33" s="187"/>
      <c r="AH33" s="187"/>
      <c r="AI33" s="187"/>
      <c r="AJ33" s="187"/>
      <c r="AK33" s="187"/>
      <c r="AL33" s="187"/>
      <c r="AM33" s="474"/>
      <c r="AN33" s="474"/>
    </row>
    <row r="34" spans="1:40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474"/>
      <c r="AF34" s="474"/>
      <c r="AG34" s="187"/>
      <c r="AH34" s="187"/>
      <c r="AI34" s="187"/>
      <c r="AJ34" s="187"/>
      <c r="AK34" s="187"/>
      <c r="AL34" s="187"/>
      <c r="AM34" s="474"/>
      <c r="AN34" s="474"/>
    </row>
    <row r="35" spans="1:40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474"/>
      <c r="AF35" s="474"/>
      <c r="AG35" s="187"/>
      <c r="AH35" s="187"/>
      <c r="AI35" s="187"/>
      <c r="AJ35" s="187"/>
      <c r="AK35" s="187"/>
      <c r="AL35" s="187"/>
      <c r="AM35" s="474"/>
      <c r="AN35" s="474"/>
    </row>
    <row r="36" spans="1:40" s="196" customFormat="1" ht="63" collapsed="1" x14ac:dyDescent="0.25">
      <c r="A36" s="194" t="s">
        <v>39</v>
      </c>
      <c r="B36" s="65" t="s">
        <v>40</v>
      </c>
      <c r="C36" s="195">
        <v>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332"/>
      <c r="AF36" s="332"/>
      <c r="AG36" s="195"/>
      <c r="AH36" s="195"/>
      <c r="AI36" s="195"/>
      <c r="AJ36" s="195"/>
      <c r="AK36" s="195"/>
      <c r="AL36" s="195"/>
      <c r="AM36" s="332"/>
      <c r="AN36" s="332"/>
    </row>
    <row r="37" spans="1:40" s="193" customFormat="1" ht="47.25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475"/>
      <c r="AF37" s="475"/>
      <c r="AG37" s="191"/>
      <c r="AH37" s="191"/>
      <c r="AI37" s="191"/>
      <c r="AJ37" s="191"/>
      <c r="AK37" s="191"/>
      <c r="AL37" s="191"/>
      <c r="AM37" s="475"/>
      <c r="AN37" s="475"/>
    </row>
    <row r="38" spans="1:40" s="185" customFormat="1" ht="31.5" x14ac:dyDescent="0.25">
      <c r="A38" s="183" t="s">
        <v>42</v>
      </c>
      <c r="B38" s="64" t="s">
        <v>43</v>
      </c>
      <c r="C38" s="184">
        <v>0</v>
      </c>
      <c r="D38" s="184">
        <f>D39+D45+D52</f>
        <v>0</v>
      </c>
      <c r="E38" s="184">
        <f t="shared" ref="E38:AN38" si="3">E39+E45+E52</f>
        <v>0</v>
      </c>
      <c r="F38" s="184">
        <f t="shared" si="3"/>
        <v>0</v>
      </c>
      <c r="G38" s="184">
        <f t="shared" si="3"/>
        <v>0</v>
      </c>
      <c r="H38" s="184">
        <f t="shared" si="3"/>
        <v>0</v>
      </c>
      <c r="I38" s="184">
        <f t="shared" si="3"/>
        <v>0</v>
      </c>
      <c r="J38" s="184">
        <f t="shared" si="3"/>
        <v>0</v>
      </c>
      <c r="K38" s="184">
        <f t="shared" si="3"/>
        <v>0</v>
      </c>
      <c r="L38" s="184">
        <f t="shared" si="3"/>
        <v>0</v>
      </c>
      <c r="M38" s="184">
        <f t="shared" si="3"/>
        <v>0</v>
      </c>
      <c r="N38" s="184">
        <f t="shared" si="3"/>
        <v>0</v>
      </c>
      <c r="O38" s="184">
        <f t="shared" si="3"/>
        <v>0</v>
      </c>
      <c r="P38" s="184">
        <f t="shared" si="3"/>
        <v>0</v>
      </c>
      <c r="Q38" s="184">
        <f t="shared" si="3"/>
        <v>0</v>
      </c>
      <c r="R38" s="184">
        <f t="shared" si="3"/>
        <v>0</v>
      </c>
      <c r="S38" s="184">
        <f t="shared" si="3"/>
        <v>0</v>
      </c>
      <c r="T38" s="184">
        <f t="shared" si="3"/>
        <v>0</v>
      </c>
      <c r="U38" s="184">
        <f t="shared" si="3"/>
        <v>0</v>
      </c>
      <c r="V38" s="184">
        <f t="shared" si="3"/>
        <v>0</v>
      </c>
      <c r="W38" s="184">
        <f t="shared" si="3"/>
        <v>0</v>
      </c>
      <c r="X38" s="184">
        <f t="shared" si="3"/>
        <v>0</v>
      </c>
      <c r="Y38" s="184">
        <f t="shared" si="3"/>
        <v>0</v>
      </c>
      <c r="Z38" s="184">
        <f t="shared" si="3"/>
        <v>12.637956039806838</v>
      </c>
      <c r="AA38" s="184">
        <f t="shared" si="3"/>
        <v>0</v>
      </c>
      <c r="AB38" s="184">
        <f t="shared" si="3"/>
        <v>0</v>
      </c>
      <c r="AC38" s="184">
        <f t="shared" si="3"/>
        <v>2.0659999999999998</v>
      </c>
      <c r="AD38" s="184">
        <f t="shared" si="3"/>
        <v>0.66</v>
      </c>
      <c r="AE38" s="473">
        <f t="shared" si="3"/>
        <v>201</v>
      </c>
      <c r="AF38" s="473">
        <f t="shared" si="3"/>
        <v>0</v>
      </c>
      <c r="AG38" s="184">
        <f t="shared" si="3"/>
        <v>0</v>
      </c>
      <c r="AH38" s="184">
        <f t="shared" si="3"/>
        <v>12.637956039806838</v>
      </c>
      <c r="AI38" s="184">
        <f t="shared" si="3"/>
        <v>0</v>
      </c>
      <c r="AJ38" s="184">
        <f t="shared" si="3"/>
        <v>0</v>
      </c>
      <c r="AK38" s="184">
        <f t="shared" si="3"/>
        <v>2.0659999999999998</v>
      </c>
      <c r="AL38" s="184">
        <f t="shared" si="3"/>
        <v>0.66</v>
      </c>
      <c r="AM38" s="473">
        <f t="shared" si="3"/>
        <v>201</v>
      </c>
      <c r="AN38" s="473">
        <f t="shared" si="3"/>
        <v>0</v>
      </c>
    </row>
    <row r="39" spans="1:40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0</v>
      </c>
      <c r="E39" s="195">
        <f t="shared" ref="E39:AN39" si="4">E40</f>
        <v>0</v>
      </c>
      <c r="F39" s="195">
        <f t="shared" si="4"/>
        <v>0</v>
      </c>
      <c r="G39" s="195">
        <f t="shared" si="4"/>
        <v>0</v>
      </c>
      <c r="H39" s="195">
        <f t="shared" si="4"/>
        <v>0</v>
      </c>
      <c r="I39" s="195">
        <f t="shared" si="4"/>
        <v>0</v>
      </c>
      <c r="J39" s="195">
        <f t="shared" si="4"/>
        <v>0</v>
      </c>
      <c r="K39" s="195">
        <f t="shared" si="4"/>
        <v>0</v>
      </c>
      <c r="L39" s="195">
        <f t="shared" si="4"/>
        <v>0</v>
      </c>
      <c r="M39" s="195">
        <f t="shared" si="4"/>
        <v>0</v>
      </c>
      <c r="N39" s="195">
        <f t="shared" si="4"/>
        <v>0</v>
      </c>
      <c r="O39" s="195">
        <f t="shared" si="4"/>
        <v>0</v>
      </c>
      <c r="P39" s="195">
        <f t="shared" si="4"/>
        <v>0</v>
      </c>
      <c r="Q39" s="195">
        <f t="shared" si="4"/>
        <v>0</v>
      </c>
      <c r="R39" s="195">
        <f t="shared" si="4"/>
        <v>0</v>
      </c>
      <c r="S39" s="195">
        <f t="shared" si="4"/>
        <v>0</v>
      </c>
      <c r="T39" s="195">
        <f t="shared" si="4"/>
        <v>0</v>
      </c>
      <c r="U39" s="195">
        <f t="shared" si="4"/>
        <v>0</v>
      </c>
      <c r="V39" s="195">
        <f t="shared" si="4"/>
        <v>0</v>
      </c>
      <c r="W39" s="195">
        <f t="shared" si="4"/>
        <v>0</v>
      </c>
      <c r="X39" s="195">
        <f t="shared" si="4"/>
        <v>0</v>
      </c>
      <c r="Y39" s="195">
        <f t="shared" si="4"/>
        <v>0</v>
      </c>
      <c r="Z39" s="195">
        <f t="shared" si="4"/>
        <v>6.1935780880810345</v>
      </c>
      <c r="AA39" s="195">
        <f t="shared" si="4"/>
        <v>0</v>
      </c>
      <c r="AB39" s="195">
        <f t="shared" si="4"/>
        <v>0</v>
      </c>
      <c r="AC39" s="195">
        <f t="shared" si="4"/>
        <v>0</v>
      </c>
      <c r="AD39" s="195">
        <f t="shared" si="4"/>
        <v>0.5</v>
      </c>
      <c r="AE39" s="332">
        <f t="shared" si="4"/>
        <v>0</v>
      </c>
      <c r="AF39" s="332">
        <f t="shared" si="4"/>
        <v>0</v>
      </c>
      <c r="AG39" s="195">
        <f t="shared" si="4"/>
        <v>0</v>
      </c>
      <c r="AH39" s="195">
        <f t="shared" si="4"/>
        <v>6.1935780880810345</v>
      </c>
      <c r="AI39" s="195">
        <f t="shared" si="4"/>
        <v>0</v>
      </c>
      <c r="AJ39" s="195">
        <f t="shared" si="4"/>
        <v>0</v>
      </c>
      <c r="AK39" s="195">
        <f t="shared" si="4"/>
        <v>0</v>
      </c>
      <c r="AL39" s="195">
        <f t="shared" si="4"/>
        <v>0.5</v>
      </c>
      <c r="AM39" s="332">
        <f t="shared" si="4"/>
        <v>0</v>
      </c>
      <c r="AN39" s="332">
        <f t="shared" si="4"/>
        <v>0</v>
      </c>
    </row>
    <row r="40" spans="1:40" s="200" customFormat="1" ht="31.5" x14ac:dyDescent="0.25">
      <c r="A40" s="197" t="s">
        <v>44</v>
      </c>
      <c r="B40" s="11" t="s">
        <v>45</v>
      </c>
      <c r="C40" s="198">
        <v>0</v>
      </c>
      <c r="D40" s="198">
        <f>SUM(D41:D43)</f>
        <v>0</v>
      </c>
      <c r="E40" s="198">
        <f t="shared" ref="E40:AN40" si="5">SUM(E41:E43)</f>
        <v>0</v>
      </c>
      <c r="F40" s="198">
        <f t="shared" si="5"/>
        <v>0</v>
      </c>
      <c r="G40" s="198">
        <f t="shared" si="5"/>
        <v>0</v>
      </c>
      <c r="H40" s="198">
        <f t="shared" si="5"/>
        <v>0</v>
      </c>
      <c r="I40" s="198">
        <f t="shared" si="5"/>
        <v>0</v>
      </c>
      <c r="J40" s="198">
        <f t="shared" si="5"/>
        <v>0</v>
      </c>
      <c r="K40" s="198">
        <f t="shared" si="5"/>
        <v>0</v>
      </c>
      <c r="L40" s="198">
        <f t="shared" si="5"/>
        <v>0</v>
      </c>
      <c r="M40" s="198">
        <f t="shared" si="5"/>
        <v>0</v>
      </c>
      <c r="N40" s="198">
        <f t="shared" si="5"/>
        <v>0</v>
      </c>
      <c r="O40" s="198">
        <f t="shared" si="5"/>
        <v>0</v>
      </c>
      <c r="P40" s="198">
        <f t="shared" si="5"/>
        <v>0</v>
      </c>
      <c r="Q40" s="198">
        <f t="shared" si="5"/>
        <v>0</v>
      </c>
      <c r="R40" s="198">
        <f t="shared" si="5"/>
        <v>0</v>
      </c>
      <c r="S40" s="198">
        <f t="shared" si="5"/>
        <v>0</v>
      </c>
      <c r="T40" s="198">
        <f t="shared" si="5"/>
        <v>0</v>
      </c>
      <c r="U40" s="198">
        <f t="shared" si="5"/>
        <v>0</v>
      </c>
      <c r="V40" s="198">
        <f t="shared" si="5"/>
        <v>0</v>
      </c>
      <c r="W40" s="198">
        <f t="shared" si="5"/>
        <v>0</v>
      </c>
      <c r="X40" s="198">
        <f t="shared" si="5"/>
        <v>0</v>
      </c>
      <c r="Y40" s="198">
        <f t="shared" si="5"/>
        <v>0</v>
      </c>
      <c r="Z40" s="198">
        <f t="shared" si="5"/>
        <v>6.1935780880810345</v>
      </c>
      <c r="AA40" s="198">
        <f t="shared" si="5"/>
        <v>0</v>
      </c>
      <c r="AB40" s="198">
        <f t="shared" si="5"/>
        <v>0</v>
      </c>
      <c r="AC40" s="198">
        <f t="shared" si="5"/>
        <v>0</v>
      </c>
      <c r="AD40" s="198">
        <f t="shared" si="5"/>
        <v>0.5</v>
      </c>
      <c r="AE40" s="333">
        <f t="shared" si="5"/>
        <v>0</v>
      </c>
      <c r="AF40" s="333">
        <f t="shared" si="5"/>
        <v>0</v>
      </c>
      <c r="AG40" s="198">
        <f t="shared" si="5"/>
        <v>0</v>
      </c>
      <c r="AH40" s="198">
        <f t="shared" si="5"/>
        <v>6.1935780880810345</v>
      </c>
      <c r="AI40" s="198">
        <f t="shared" si="5"/>
        <v>0</v>
      </c>
      <c r="AJ40" s="198">
        <f t="shared" si="5"/>
        <v>0</v>
      </c>
      <c r="AK40" s="198">
        <f t="shared" si="5"/>
        <v>0</v>
      </c>
      <c r="AL40" s="198">
        <f t="shared" si="5"/>
        <v>0.5</v>
      </c>
      <c r="AM40" s="333">
        <f t="shared" si="5"/>
        <v>0</v>
      </c>
      <c r="AN40" s="333">
        <f t="shared" si="5"/>
        <v>0</v>
      </c>
    </row>
    <row r="41" spans="1:40" s="362" customFormat="1" x14ac:dyDescent="0.25">
      <c r="A41" s="14" t="s">
        <v>46</v>
      </c>
      <c r="B41" s="417" t="s">
        <v>735</v>
      </c>
      <c r="C41" s="390" t="s">
        <v>721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351">
        <v>0</v>
      </c>
      <c r="U41" s="351">
        <v>0</v>
      </c>
      <c r="V41" s="351">
        <v>0</v>
      </c>
      <c r="W41" s="351">
        <v>0</v>
      </c>
      <c r="X41" s="351">
        <v>0</v>
      </c>
      <c r="Y41" s="351">
        <v>0</v>
      </c>
      <c r="Z41" s="351">
        <v>0</v>
      </c>
      <c r="AA41" s="351">
        <v>0</v>
      </c>
      <c r="AB41" s="351">
        <v>0</v>
      </c>
      <c r="AC41" s="351">
        <v>0</v>
      </c>
      <c r="AD41" s="351">
        <v>0</v>
      </c>
      <c r="AE41" s="367"/>
      <c r="AF41" s="367">
        <v>0</v>
      </c>
      <c r="AG41" s="351">
        <f>D41+K41+R41+Y41</f>
        <v>0</v>
      </c>
      <c r="AH41" s="351">
        <f>E41+L41+S41+Z41</f>
        <v>0</v>
      </c>
      <c r="AI41" s="351">
        <f t="shared" ref="AI41:AN43" si="6">F41+M41+T41+AA41</f>
        <v>0</v>
      </c>
      <c r="AJ41" s="351">
        <f t="shared" si="6"/>
        <v>0</v>
      </c>
      <c r="AK41" s="351">
        <f t="shared" si="6"/>
        <v>0</v>
      </c>
      <c r="AL41" s="351">
        <f t="shared" si="6"/>
        <v>0</v>
      </c>
      <c r="AM41" s="367">
        <f t="shared" si="6"/>
        <v>0</v>
      </c>
      <c r="AN41" s="367">
        <f t="shared" si="6"/>
        <v>0</v>
      </c>
    </row>
    <row r="42" spans="1:40" s="362" customFormat="1" x14ac:dyDescent="0.25">
      <c r="A42" s="14" t="s">
        <v>527</v>
      </c>
      <c r="B42" s="419" t="s">
        <v>736</v>
      </c>
      <c r="C42" s="390" t="s">
        <v>722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>
        <f>Ф4!BQ42</f>
        <v>6.1935780880810345</v>
      </c>
      <c r="AA42" s="351">
        <f>Ф4!BR42</f>
        <v>0</v>
      </c>
      <c r="AB42" s="351">
        <f>Ф4!BS42</f>
        <v>0</v>
      </c>
      <c r="AC42" s="351">
        <f>Ф4!BT42</f>
        <v>0</v>
      </c>
      <c r="AD42" s="351">
        <f>Ф4!BU42</f>
        <v>0.5</v>
      </c>
      <c r="AE42" s="367">
        <f>Ф4!BV42</f>
        <v>0</v>
      </c>
      <c r="AF42" s="367">
        <f>Ф4!BW42</f>
        <v>0</v>
      </c>
      <c r="AG42" s="351"/>
      <c r="AH42" s="351">
        <f t="shared" ref="AH42:AH43" si="7">E42+L42+S42+Z42</f>
        <v>6.1935780880810345</v>
      </c>
      <c r="AI42" s="351">
        <f t="shared" si="6"/>
        <v>0</v>
      </c>
      <c r="AJ42" s="351">
        <f t="shared" si="6"/>
        <v>0</v>
      </c>
      <c r="AK42" s="351">
        <f t="shared" si="6"/>
        <v>0</v>
      </c>
      <c r="AL42" s="351">
        <f t="shared" si="6"/>
        <v>0.5</v>
      </c>
      <c r="AM42" s="367">
        <f t="shared" si="6"/>
        <v>0</v>
      </c>
      <c r="AN42" s="367">
        <f t="shared" si="6"/>
        <v>0</v>
      </c>
    </row>
    <row r="43" spans="1:40" s="362" customFormat="1" x14ac:dyDescent="0.25">
      <c r="A43" s="14" t="s">
        <v>700</v>
      </c>
      <c r="B43" s="419" t="s">
        <v>737</v>
      </c>
      <c r="C43" s="390" t="s">
        <v>723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67"/>
      <c r="AF43" s="367"/>
      <c r="AG43" s="351"/>
      <c r="AH43" s="351">
        <f t="shared" si="7"/>
        <v>0</v>
      </c>
      <c r="AI43" s="351">
        <f t="shared" si="6"/>
        <v>0</v>
      </c>
      <c r="AJ43" s="351">
        <f t="shared" si="6"/>
        <v>0</v>
      </c>
      <c r="AK43" s="351">
        <f t="shared" si="6"/>
        <v>0</v>
      </c>
      <c r="AL43" s="351">
        <f t="shared" si="6"/>
        <v>0</v>
      </c>
      <c r="AM43" s="367">
        <f t="shared" si="6"/>
        <v>0</v>
      </c>
      <c r="AN43" s="367">
        <f t="shared" si="6"/>
        <v>0</v>
      </c>
    </row>
    <row r="44" spans="1:40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333"/>
      <c r="AF44" s="333"/>
      <c r="AG44" s="198"/>
      <c r="AH44" s="198"/>
      <c r="AI44" s="198"/>
      <c r="AJ44" s="198"/>
      <c r="AK44" s="198"/>
      <c r="AL44" s="198"/>
      <c r="AM44" s="333"/>
      <c r="AN44" s="333"/>
    </row>
    <row r="45" spans="1:40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0</v>
      </c>
      <c r="E45" s="195">
        <f t="shared" ref="E45:AN45" si="8">E46</f>
        <v>0</v>
      </c>
      <c r="F45" s="195">
        <f t="shared" si="8"/>
        <v>0</v>
      </c>
      <c r="G45" s="195">
        <f t="shared" si="8"/>
        <v>0</v>
      </c>
      <c r="H45" s="195">
        <f t="shared" si="8"/>
        <v>0</v>
      </c>
      <c r="I45" s="195">
        <f t="shared" si="8"/>
        <v>0</v>
      </c>
      <c r="J45" s="195">
        <f t="shared" si="8"/>
        <v>0</v>
      </c>
      <c r="K45" s="195">
        <f t="shared" si="8"/>
        <v>0</v>
      </c>
      <c r="L45" s="195">
        <f t="shared" si="8"/>
        <v>0</v>
      </c>
      <c r="M45" s="195">
        <f t="shared" si="8"/>
        <v>0</v>
      </c>
      <c r="N45" s="195">
        <f t="shared" si="8"/>
        <v>0</v>
      </c>
      <c r="O45" s="195">
        <f t="shared" si="8"/>
        <v>0</v>
      </c>
      <c r="P45" s="195">
        <f t="shared" si="8"/>
        <v>0</v>
      </c>
      <c r="Q45" s="195">
        <f t="shared" si="8"/>
        <v>0</v>
      </c>
      <c r="R45" s="195">
        <f t="shared" si="8"/>
        <v>0</v>
      </c>
      <c r="S45" s="195">
        <f t="shared" si="8"/>
        <v>0</v>
      </c>
      <c r="T45" s="195">
        <f t="shared" si="8"/>
        <v>0</v>
      </c>
      <c r="U45" s="195">
        <f t="shared" si="8"/>
        <v>0</v>
      </c>
      <c r="V45" s="195">
        <f t="shared" si="8"/>
        <v>0</v>
      </c>
      <c r="W45" s="195">
        <f t="shared" si="8"/>
        <v>0</v>
      </c>
      <c r="X45" s="195">
        <f t="shared" si="8"/>
        <v>0</v>
      </c>
      <c r="Y45" s="195">
        <f t="shared" si="8"/>
        <v>0</v>
      </c>
      <c r="Z45" s="195">
        <f t="shared" si="8"/>
        <v>1.8385944684557829</v>
      </c>
      <c r="AA45" s="195">
        <f t="shared" si="8"/>
        <v>0</v>
      </c>
      <c r="AB45" s="195">
        <f t="shared" si="8"/>
        <v>0</v>
      </c>
      <c r="AC45" s="195">
        <f t="shared" si="8"/>
        <v>2.0659999999999998</v>
      </c>
      <c r="AD45" s="195">
        <f t="shared" si="8"/>
        <v>0.16</v>
      </c>
      <c r="AE45" s="332">
        <f t="shared" si="8"/>
        <v>0</v>
      </c>
      <c r="AF45" s="332">
        <f t="shared" si="8"/>
        <v>0</v>
      </c>
      <c r="AG45" s="195">
        <f t="shared" si="8"/>
        <v>0</v>
      </c>
      <c r="AH45" s="195">
        <f t="shared" si="8"/>
        <v>1.8385944684557829</v>
      </c>
      <c r="AI45" s="195">
        <f t="shared" si="8"/>
        <v>0</v>
      </c>
      <c r="AJ45" s="195">
        <f t="shared" si="8"/>
        <v>0</v>
      </c>
      <c r="AK45" s="195">
        <f t="shared" si="8"/>
        <v>2.0659999999999998</v>
      </c>
      <c r="AL45" s="195">
        <f t="shared" si="8"/>
        <v>0.16</v>
      </c>
      <c r="AM45" s="332">
        <f t="shared" si="8"/>
        <v>0</v>
      </c>
      <c r="AN45" s="332">
        <f t="shared" si="8"/>
        <v>0</v>
      </c>
    </row>
    <row r="46" spans="1:40" s="200" customFormat="1" x14ac:dyDescent="0.25">
      <c r="A46" s="197" t="s">
        <v>74</v>
      </c>
      <c r="B46" s="11" t="s">
        <v>75</v>
      </c>
      <c r="C46" s="198">
        <v>0</v>
      </c>
      <c r="D46" s="198">
        <f>SUM(D47:D50)</f>
        <v>0</v>
      </c>
      <c r="E46" s="198">
        <f t="shared" ref="E46:AN46" si="9">SUM(E47:E50)</f>
        <v>0</v>
      </c>
      <c r="F46" s="198">
        <f t="shared" si="9"/>
        <v>0</v>
      </c>
      <c r="G46" s="198">
        <f t="shared" si="9"/>
        <v>0</v>
      </c>
      <c r="H46" s="198">
        <f t="shared" si="9"/>
        <v>0</v>
      </c>
      <c r="I46" s="198">
        <f t="shared" si="9"/>
        <v>0</v>
      </c>
      <c r="J46" s="198">
        <f t="shared" si="9"/>
        <v>0</v>
      </c>
      <c r="K46" s="198">
        <f t="shared" si="9"/>
        <v>0</v>
      </c>
      <c r="L46" s="198">
        <f t="shared" si="9"/>
        <v>0</v>
      </c>
      <c r="M46" s="198">
        <f t="shared" si="9"/>
        <v>0</v>
      </c>
      <c r="N46" s="198">
        <f t="shared" si="9"/>
        <v>0</v>
      </c>
      <c r="O46" s="198">
        <f t="shared" si="9"/>
        <v>0</v>
      </c>
      <c r="P46" s="198">
        <f t="shared" si="9"/>
        <v>0</v>
      </c>
      <c r="Q46" s="198">
        <f t="shared" si="9"/>
        <v>0</v>
      </c>
      <c r="R46" s="198">
        <f t="shared" si="9"/>
        <v>0</v>
      </c>
      <c r="S46" s="198">
        <f t="shared" si="9"/>
        <v>0</v>
      </c>
      <c r="T46" s="198">
        <f t="shared" si="9"/>
        <v>0</v>
      </c>
      <c r="U46" s="198">
        <f t="shared" si="9"/>
        <v>0</v>
      </c>
      <c r="V46" s="198">
        <f t="shared" si="9"/>
        <v>0</v>
      </c>
      <c r="W46" s="198">
        <f t="shared" si="9"/>
        <v>0</v>
      </c>
      <c r="X46" s="198">
        <f t="shared" si="9"/>
        <v>0</v>
      </c>
      <c r="Y46" s="198">
        <f t="shared" si="9"/>
        <v>0</v>
      </c>
      <c r="Z46" s="198">
        <f t="shared" si="9"/>
        <v>1.8385944684557829</v>
      </c>
      <c r="AA46" s="198">
        <f t="shared" si="9"/>
        <v>0</v>
      </c>
      <c r="AB46" s="198">
        <f t="shared" si="9"/>
        <v>0</v>
      </c>
      <c r="AC46" s="198">
        <f t="shared" si="9"/>
        <v>2.0659999999999998</v>
      </c>
      <c r="AD46" s="198">
        <f t="shared" si="9"/>
        <v>0.16</v>
      </c>
      <c r="AE46" s="333">
        <f t="shared" si="9"/>
        <v>0</v>
      </c>
      <c r="AF46" s="333">
        <f t="shared" si="9"/>
        <v>0</v>
      </c>
      <c r="AG46" s="198">
        <f t="shared" si="9"/>
        <v>0</v>
      </c>
      <c r="AH46" s="198">
        <f t="shared" si="9"/>
        <v>1.8385944684557829</v>
      </c>
      <c r="AI46" s="198">
        <f t="shared" si="9"/>
        <v>0</v>
      </c>
      <c r="AJ46" s="198">
        <f t="shared" si="9"/>
        <v>0</v>
      </c>
      <c r="AK46" s="198">
        <f t="shared" si="9"/>
        <v>2.0659999999999998</v>
      </c>
      <c r="AL46" s="198">
        <f t="shared" si="9"/>
        <v>0.16</v>
      </c>
      <c r="AM46" s="333">
        <f t="shared" si="9"/>
        <v>0</v>
      </c>
      <c r="AN46" s="333">
        <f t="shared" si="9"/>
        <v>0</v>
      </c>
    </row>
    <row r="47" spans="1:40" s="362" customFormat="1" ht="25.5" x14ac:dyDescent="0.25">
      <c r="A47" s="14" t="s">
        <v>76</v>
      </c>
      <c r="B47" s="417" t="s">
        <v>738</v>
      </c>
      <c r="C47" s="390" t="s">
        <v>724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67"/>
      <c r="AF47" s="367"/>
      <c r="AG47" s="351"/>
      <c r="AH47" s="351">
        <f>E47+L47+S47+Z47</f>
        <v>0</v>
      </c>
      <c r="AI47" s="351">
        <f>F47+M47+T47+AA47</f>
        <v>0</v>
      </c>
      <c r="AJ47" s="351">
        <f>G47+N47+U47+AB47</f>
        <v>0</v>
      </c>
      <c r="AK47" s="351">
        <f>H47+O47+V47+AC47</f>
        <v>0</v>
      </c>
      <c r="AL47" s="351">
        <f>I47+P47+W47+AD47</f>
        <v>0</v>
      </c>
      <c r="AM47" s="367">
        <f t="shared" ref="AM47:AN50" si="10">J47+Q47+X47+AE47</f>
        <v>0</v>
      </c>
      <c r="AN47" s="367">
        <f t="shared" si="10"/>
        <v>0</v>
      </c>
    </row>
    <row r="48" spans="1:40" s="362" customFormat="1" x14ac:dyDescent="0.25">
      <c r="A48" s="14" t="s">
        <v>659</v>
      </c>
      <c r="B48" s="417" t="s">
        <v>739</v>
      </c>
      <c r="C48" s="390" t="s">
        <v>725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0</v>
      </c>
      <c r="N48" s="351">
        <v>0</v>
      </c>
      <c r="O48" s="351">
        <v>0</v>
      </c>
      <c r="P48" s="351">
        <v>0</v>
      </c>
      <c r="Q48" s="351">
        <v>0</v>
      </c>
      <c r="R48" s="351">
        <v>0</v>
      </c>
      <c r="S48" s="351">
        <v>0</v>
      </c>
      <c r="T48" s="351">
        <v>0</v>
      </c>
      <c r="U48" s="351">
        <v>0</v>
      </c>
      <c r="V48" s="351">
        <v>0</v>
      </c>
      <c r="W48" s="351">
        <v>0</v>
      </c>
      <c r="X48" s="351">
        <v>0</v>
      </c>
      <c r="Y48" s="351">
        <v>0</v>
      </c>
      <c r="Z48" s="351">
        <v>0</v>
      </c>
      <c r="AA48" s="351">
        <v>0</v>
      </c>
      <c r="AB48" s="351">
        <v>0</v>
      </c>
      <c r="AC48" s="351">
        <v>0</v>
      </c>
      <c r="AD48" s="351">
        <v>0</v>
      </c>
      <c r="AE48" s="367"/>
      <c r="AF48" s="367">
        <v>0</v>
      </c>
      <c r="AG48" s="351">
        <f>D48+K48+R48+Y48</f>
        <v>0</v>
      </c>
      <c r="AH48" s="351">
        <f t="shared" ref="AH48:AH50" si="11">E48+L48+S48+Z48</f>
        <v>0</v>
      </c>
      <c r="AI48" s="351">
        <f t="shared" ref="AI48:AL50" si="12">F48+M48+T48+AA48</f>
        <v>0</v>
      </c>
      <c r="AJ48" s="351">
        <f t="shared" si="12"/>
        <v>0</v>
      </c>
      <c r="AK48" s="351">
        <f t="shared" si="12"/>
        <v>0</v>
      </c>
      <c r="AL48" s="351">
        <f t="shared" si="12"/>
        <v>0</v>
      </c>
      <c r="AM48" s="367">
        <f t="shared" si="10"/>
        <v>0</v>
      </c>
      <c r="AN48" s="367">
        <f t="shared" si="10"/>
        <v>0</v>
      </c>
    </row>
    <row r="49" spans="1:40" s="362" customFormat="1" x14ac:dyDescent="0.25">
      <c r="A49" s="14" t="s">
        <v>661</v>
      </c>
      <c r="B49" s="417" t="s">
        <v>740</v>
      </c>
      <c r="C49" s="390" t="s">
        <v>726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67"/>
      <c r="AF49" s="367"/>
      <c r="AG49" s="351"/>
      <c r="AH49" s="351">
        <f t="shared" si="11"/>
        <v>0</v>
      </c>
      <c r="AI49" s="351">
        <f t="shared" si="12"/>
        <v>0</v>
      </c>
      <c r="AJ49" s="351">
        <f t="shared" si="12"/>
        <v>0</v>
      </c>
      <c r="AK49" s="351">
        <f t="shared" si="12"/>
        <v>0</v>
      </c>
      <c r="AL49" s="351">
        <f t="shared" si="12"/>
        <v>0</v>
      </c>
      <c r="AM49" s="367">
        <f t="shared" si="10"/>
        <v>0</v>
      </c>
      <c r="AN49" s="367">
        <f t="shared" si="10"/>
        <v>0</v>
      </c>
    </row>
    <row r="50" spans="1:40" s="362" customFormat="1" ht="38.25" x14ac:dyDescent="0.25">
      <c r="A50" s="14" t="s">
        <v>662</v>
      </c>
      <c r="B50" s="417" t="s">
        <v>741</v>
      </c>
      <c r="C50" s="390" t="s">
        <v>727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>
        <f>Ф4!BQ50</f>
        <v>1.8385944684557829</v>
      </c>
      <c r="AA50" s="351">
        <f>Ф4!BR50</f>
        <v>0</v>
      </c>
      <c r="AB50" s="351">
        <f>Ф4!BS50</f>
        <v>0</v>
      </c>
      <c r="AC50" s="351">
        <f>Ф4!BT50</f>
        <v>2.0659999999999998</v>
      </c>
      <c r="AD50" s="351">
        <f>Ф4!BU50</f>
        <v>0.16</v>
      </c>
      <c r="AE50" s="367">
        <f>Ф4!BV50</f>
        <v>0</v>
      </c>
      <c r="AF50" s="367">
        <f>Ф4!BW50</f>
        <v>0</v>
      </c>
      <c r="AG50" s="351"/>
      <c r="AH50" s="351">
        <f t="shared" si="11"/>
        <v>1.8385944684557829</v>
      </c>
      <c r="AI50" s="351">
        <f t="shared" si="12"/>
        <v>0</v>
      </c>
      <c r="AJ50" s="351">
        <f t="shared" si="12"/>
        <v>0</v>
      </c>
      <c r="AK50" s="351">
        <f t="shared" si="12"/>
        <v>2.0659999999999998</v>
      </c>
      <c r="AL50" s="351">
        <f t="shared" si="12"/>
        <v>0.16</v>
      </c>
      <c r="AM50" s="367">
        <f t="shared" si="10"/>
        <v>0</v>
      </c>
      <c r="AN50" s="367">
        <f t="shared" si="10"/>
        <v>0</v>
      </c>
    </row>
    <row r="51" spans="1:40" s="200" customFormat="1" ht="31.5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333"/>
      <c r="AF51" s="333"/>
      <c r="AG51" s="198"/>
      <c r="AH51" s="198"/>
      <c r="AI51" s="198"/>
      <c r="AJ51" s="198"/>
      <c r="AK51" s="198"/>
      <c r="AL51" s="198"/>
      <c r="AM51" s="333"/>
      <c r="AN51" s="333"/>
    </row>
    <row r="52" spans="1:40" s="196" customFormat="1" ht="31.5" x14ac:dyDescent="0.25">
      <c r="A52" s="194" t="s">
        <v>116</v>
      </c>
      <c r="B52" s="65" t="s">
        <v>117</v>
      </c>
      <c r="C52" s="195">
        <v>0</v>
      </c>
      <c r="D52" s="195">
        <f>D53</f>
        <v>0</v>
      </c>
      <c r="E52" s="195">
        <f t="shared" ref="E52:AN52" si="13">E53</f>
        <v>0</v>
      </c>
      <c r="F52" s="195">
        <f t="shared" si="13"/>
        <v>0</v>
      </c>
      <c r="G52" s="195">
        <f t="shared" si="13"/>
        <v>0</v>
      </c>
      <c r="H52" s="195">
        <f t="shared" si="13"/>
        <v>0</v>
      </c>
      <c r="I52" s="195">
        <f t="shared" si="13"/>
        <v>0</v>
      </c>
      <c r="J52" s="195">
        <f t="shared" si="13"/>
        <v>0</v>
      </c>
      <c r="K52" s="195">
        <f t="shared" si="13"/>
        <v>0</v>
      </c>
      <c r="L52" s="195">
        <f t="shared" si="13"/>
        <v>0</v>
      </c>
      <c r="M52" s="195">
        <f t="shared" si="13"/>
        <v>0</v>
      </c>
      <c r="N52" s="195">
        <f t="shared" si="13"/>
        <v>0</v>
      </c>
      <c r="O52" s="195">
        <f t="shared" si="13"/>
        <v>0</v>
      </c>
      <c r="P52" s="195">
        <f t="shared" si="13"/>
        <v>0</v>
      </c>
      <c r="Q52" s="195">
        <f t="shared" si="13"/>
        <v>0</v>
      </c>
      <c r="R52" s="195">
        <f t="shared" si="13"/>
        <v>0</v>
      </c>
      <c r="S52" s="195">
        <f t="shared" si="13"/>
        <v>0</v>
      </c>
      <c r="T52" s="195">
        <f t="shared" si="13"/>
        <v>0</v>
      </c>
      <c r="U52" s="195">
        <f t="shared" si="13"/>
        <v>0</v>
      </c>
      <c r="V52" s="195">
        <f t="shared" si="13"/>
        <v>0</v>
      </c>
      <c r="W52" s="195">
        <f t="shared" si="13"/>
        <v>0</v>
      </c>
      <c r="X52" s="195">
        <f t="shared" si="13"/>
        <v>0</v>
      </c>
      <c r="Y52" s="195">
        <f t="shared" si="13"/>
        <v>0</v>
      </c>
      <c r="Z52" s="195">
        <f t="shared" si="13"/>
        <v>4.6057834832700211</v>
      </c>
      <c r="AA52" s="195">
        <f t="shared" si="13"/>
        <v>0</v>
      </c>
      <c r="AB52" s="195">
        <f t="shared" si="13"/>
        <v>0</v>
      </c>
      <c r="AC52" s="195">
        <f t="shared" si="13"/>
        <v>0</v>
      </c>
      <c r="AD52" s="195">
        <f t="shared" si="13"/>
        <v>0</v>
      </c>
      <c r="AE52" s="332">
        <f t="shared" si="13"/>
        <v>201</v>
      </c>
      <c r="AF52" s="332">
        <f t="shared" si="13"/>
        <v>0</v>
      </c>
      <c r="AG52" s="195">
        <f t="shared" si="13"/>
        <v>0</v>
      </c>
      <c r="AH52" s="195">
        <f t="shared" si="13"/>
        <v>4.6057834832700211</v>
      </c>
      <c r="AI52" s="195">
        <f t="shared" si="13"/>
        <v>0</v>
      </c>
      <c r="AJ52" s="195">
        <f t="shared" si="13"/>
        <v>0</v>
      </c>
      <c r="AK52" s="195">
        <f t="shared" si="13"/>
        <v>0</v>
      </c>
      <c r="AL52" s="195">
        <f t="shared" si="13"/>
        <v>0</v>
      </c>
      <c r="AM52" s="332">
        <f t="shared" si="13"/>
        <v>201</v>
      </c>
      <c r="AN52" s="332">
        <f t="shared" si="13"/>
        <v>0</v>
      </c>
    </row>
    <row r="53" spans="1:40" s="200" customFormat="1" ht="31.5" outlineLevel="1" x14ac:dyDescent="0.25">
      <c r="A53" s="197" t="s">
        <v>118</v>
      </c>
      <c r="B53" s="11" t="s">
        <v>119</v>
      </c>
      <c r="C53" s="198"/>
      <c r="D53" s="198">
        <f>SUM(D54:D58)</f>
        <v>0</v>
      </c>
      <c r="E53" s="198">
        <f t="shared" ref="E53:AN53" si="14">SUM(E54:E58)</f>
        <v>0</v>
      </c>
      <c r="F53" s="198">
        <f t="shared" si="14"/>
        <v>0</v>
      </c>
      <c r="G53" s="198">
        <f t="shared" si="14"/>
        <v>0</v>
      </c>
      <c r="H53" s="198">
        <f t="shared" si="14"/>
        <v>0</v>
      </c>
      <c r="I53" s="198">
        <f t="shared" si="14"/>
        <v>0</v>
      </c>
      <c r="J53" s="198">
        <f t="shared" si="14"/>
        <v>0</v>
      </c>
      <c r="K53" s="198">
        <f t="shared" si="14"/>
        <v>0</v>
      </c>
      <c r="L53" s="198">
        <f t="shared" si="14"/>
        <v>0</v>
      </c>
      <c r="M53" s="198">
        <f t="shared" si="14"/>
        <v>0</v>
      </c>
      <c r="N53" s="198">
        <f t="shared" si="14"/>
        <v>0</v>
      </c>
      <c r="O53" s="198">
        <f t="shared" si="14"/>
        <v>0</v>
      </c>
      <c r="P53" s="198">
        <f t="shared" si="14"/>
        <v>0</v>
      </c>
      <c r="Q53" s="198">
        <f t="shared" si="14"/>
        <v>0</v>
      </c>
      <c r="R53" s="198">
        <f t="shared" si="14"/>
        <v>0</v>
      </c>
      <c r="S53" s="198">
        <f t="shared" si="14"/>
        <v>0</v>
      </c>
      <c r="T53" s="198">
        <f t="shared" si="14"/>
        <v>0</v>
      </c>
      <c r="U53" s="198">
        <f t="shared" si="14"/>
        <v>0</v>
      </c>
      <c r="V53" s="198">
        <f t="shared" si="14"/>
        <v>0</v>
      </c>
      <c r="W53" s="198">
        <f t="shared" si="14"/>
        <v>0</v>
      </c>
      <c r="X53" s="198">
        <f t="shared" si="14"/>
        <v>0</v>
      </c>
      <c r="Y53" s="198">
        <f t="shared" si="14"/>
        <v>0</v>
      </c>
      <c r="Z53" s="198">
        <f t="shared" si="14"/>
        <v>4.6057834832700211</v>
      </c>
      <c r="AA53" s="198">
        <f t="shared" si="14"/>
        <v>0</v>
      </c>
      <c r="AB53" s="198">
        <f t="shared" si="14"/>
        <v>0</v>
      </c>
      <c r="AC53" s="198">
        <f t="shared" si="14"/>
        <v>0</v>
      </c>
      <c r="AD53" s="198">
        <f t="shared" si="14"/>
        <v>0</v>
      </c>
      <c r="AE53" s="333">
        <f t="shared" si="14"/>
        <v>201</v>
      </c>
      <c r="AF53" s="333">
        <f t="shared" si="14"/>
        <v>0</v>
      </c>
      <c r="AG53" s="198">
        <f t="shared" si="14"/>
        <v>0</v>
      </c>
      <c r="AH53" s="198">
        <f t="shared" si="14"/>
        <v>4.6057834832700211</v>
      </c>
      <c r="AI53" s="198">
        <f t="shared" si="14"/>
        <v>0</v>
      </c>
      <c r="AJ53" s="198">
        <f t="shared" si="14"/>
        <v>0</v>
      </c>
      <c r="AK53" s="198">
        <f t="shared" si="14"/>
        <v>0</v>
      </c>
      <c r="AL53" s="198">
        <f t="shared" si="14"/>
        <v>0</v>
      </c>
      <c r="AM53" s="333">
        <f t="shared" si="14"/>
        <v>201</v>
      </c>
      <c r="AN53" s="333">
        <f t="shared" si="14"/>
        <v>0</v>
      </c>
    </row>
    <row r="54" spans="1:40" s="200" customFormat="1" outlineLevel="1" x14ac:dyDescent="0.25">
      <c r="A54" s="14" t="s">
        <v>701</v>
      </c>
      <c r="B54" s="421" t="s">
        <v>706</v>
      </c>
      <c r="C54" s="390" t="s">
        <v>728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367"/>
      <c r="AF54" s="367"/>
      <c r="AG54" s="198"/>
      <c r="AH54" s="351">
        <f t="shared" ref="AH54:AK58" si="15">E54+L54+S54+Z54</f>
        <v>0</v>
      </c>
      <c r="AI54" s="351">
        <f t="shared" si="15"/>
        <v>0</v>
      </c>
      <c r="AJ54" s="351">
        <f t="shared" si="15"/>
        <v>0</v>
      </c>
      <c r="AK54" s="351">
        <f t="shared" si="15"/>
        <v>0</v>
      </c>
      <c r="AL54" s="351">
        <f t="shared" ref="AL54:AN58" si="16">I54+P54+W54+AD54</f>
        <v>0</v>
      </c>
      <c r="AM54" s="367">
        <f t="shared" si="16"/>
        <v>0</v>
      </c>
      <c r="AN54" s="367">
        <f t="shared" si="16"/>
        <v>0</v>
      </c>
    </row>
    <row r="55" spans="1:40" s="200" customFormat="1" outlineLevel="1" x14ac:dyDescent="0.25">
      <c r="A55" s="14" t="s">
        <v>702</v>
      </c>
      <c r="B55" s="421" t="s">
        <v>706</v>
      </c>
      <c r="C55" s="390" t="s">
        <v>729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367"/>
      <c r="AF55" s="367"/>
      <c r="AG55" s="198"/>
      <c r="AH55" s="351">
        <f t="shared" si="15"/>
        <v>0</v>
      </c>
      <c r="AI55" s="351">
        <f t="shared" si="15"/>
        <v>0</v>
      </c>
      <c r="AJ55" s="351">
        <f t="shared" si="15"/>
        <v>0</v>
      </c>
      <c r="AK55" s="351">
        <f t="shared" si="15"/>
        <v>0</v>
      </c>
      <c r="AL55" s="351">
        <f t="shared" si="16"/>
        <v>0</v>
      </c>
      <c r="AM55" s="367">
        <f t="shared" si="16"/>
        <v>0</v>
      </c>
      <c r="AN55" s="367">
        <f t="shared" si="16"/>
        <v>0</v>
      </c>
    </row>
    <row r="56" spans="1:40" s="200" customFormat="1" outlineLevel="1" x14ac:dyDescent="0.25">
      <c r="A56" s="14" t="s">
        <v>703</v>
      </c>
      <c r="B56" s="421" t="s">
        <v>706</v>
      </c>
      <c r="C56" s="390" t="s">
        <v>730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367"/>
      <c r="AF56" s="367"/>
      <c r="AG56" s="198"/>
      <c r="AH56" s="351">
        <f t="shared" si="15"/>
        <v>0</v>
      </c>
      <c r="AI56" s="351">
        <f t="shared" si="15"/>
        <v>0</v>
      </c>
      <c r="AJ56" s="351">
        <f t="shared" si="15"/>
        <v>0</v>
      </c>
      <c r="AK56" s="351">
        <f t="shared" si="15"/>
        <v>0</v>
      </c>
      <c r="AL56" s="351">
        <f t="shared" si="16"/>
        <v>0</v>
      </c>
      <c r="AM56" s="367">
        <f t="shared" si="16"/>
        <v>0</v>
      </c>
      <c r="AN56" s="367">
        <f t="shared" si="16"/>
        <v>0</v>
      </c>
    </row>
    <row r="57" spans="1:40" s="200" customFormat="1" outlineLevel="1" x14ac:dyDescent="0.25">
      <c r="A57" s="14" t="s">
        <v>704</v>
      </c>
      <c r="B57" s="421" t="s">
        <v>706</v>
      </c>
      <c r="C57" s="390" t="s">
        <v>731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>
        <f>Ф4!BQ57</f>
        <v>4.6057834832700211</v>
      </c>
      <c r="AA57" s="198">
        <f>Ф4!BR57</f>
        <v>0</v>
      </c>
      <c r="AB57" s="198">
        <f>Ф4!BS57</f>
        <v>0</v>
      </c>
      <c r="AC57" s="198">
        <f>Ф4!BT57</f>
        <v>0</v>
      </c>
      <c r="AD57" s="198">
        <f>Ф4!BU57</f>
        <v>0</v>
      </c>
      <c r="AE57" s="367">
        <f>Ф4!BV57</f>
        <v>201</v>
      </c>
      <c r="AF57" s="367">
        <f>Ф4!BW57</f>
        <v>0</v>
      </c>
      <c r="AG57" s="198"/>
      <c r="AH57" s="351">
        <f t="shared" si="15"/>
        <v>4.6057834832700211</v>
      </c>
      <c r="AI57" s="351">
        <f t="shared" si="15"/>
        <v>0</v>
      </c>
      <c r="AJ57" s="351">
        <f t="shared" si="15"/>
        <v>0</v>
      </c>
      <c r="AK57" s="351">
        <f t="shared" si="15"/>
        <v>0</v>
      </c>
      <c r="AL57" s="351">
        <f t="shared" si="16"/>
        <v>0</v>
      </c>
      <c r="AM57" s="367">
        <f t="shared" si="16"/>
        <v>201</v>
      </c>
      <c r="AN57" s="367">
        <f t="shared" si="16"/>
        <v>0</v>
      </c>
    </row>
    <row r="58" spans="1:40" s="200" customFormat="1" outlineLevel="1" x14ac:dyDescent="0.25">
      <c r="A58" s="14" t="s">
        <v>705</v>
      </c>
      <c r="B58" s="421" t="s">
        <v>706</v>
      </c>
      <c r="C58" s="390" t="s">
        <v>732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367"/>
      <c r="AF58" s="367"/>
      <c r="AG58" s="198"/>
      <c r="AH58" s="351">
        <f t="shared" si="15"/>
        <v>0</v>
      </c>
      <c r="AI58" s="351">
        <f t="shared" si="15"/>
        <v>0</v>
      </c>
      <c r="AJ58" s="351">
        <f t="shared" si="15"/>
        <v>0</v>
      </c>
      <c r="AK58" s="351">
        <f t="shared" si="15"/>
        <v>0</v>
      </c>
      <c r="AL58" s="351">
        <f t="shared" si="16"/>
        <v>0</v>
      </c>
      <c r="AM58" s="367">
        <f t="shared" si="16"/>
        <v>0</v>
      </c>
      <c r="AN58" s="367">
        <f t="shared" si="16"/>
        <v>0</v>
      </c>
    </row>
    <row r="59" spans="1:40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333"/>
      <c r="AF59" s="333"/>
      <c r="AG59" s="198"/>
      <c r="AH59" s="198"/>
      <c r="AI59" s="198"/>
      <c r="AJ59" s="198"/>
      <c r="AK59" s="198"/>
      <c r="AL59" s="198"/>
      <c r="AM59" s="333"/>
      <c r="AN59" s="333"/>
    </row>
    <row r="60" spans="1:40" s="200" customFormat="1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333"/>
      <c r="AF60" s="333"/>
      <c r="AG60" s="198"/>
      <c r="AH60" s="198"/>
      <c r="AI60" s="198"/>
      <c r="AJ60" s="198"/>
      <c r="AK60" s="198"/>
      <c r="AL60" s="198"/>
      <c r="AM60" s="333"/>
      <c r="AN60" s="333"/>
    </row>
    <row r="61" spans="1:40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333"/>
      <c r="AF61" s="333"/>
      <c r="AG61" s="198"/>
      <c r="AH61" s="198"/>
      <c r="AI61" s="198"/>
      <c r="AJ61" s="198"/>
      <c r="AK61" s="198"/>
      <c r="AL61" s="198"/>
      <c r="AM61" s="333"/>
      <c r="AN61" s="333"/>
    </row>
    <row r="62" spans="1:40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AN62" si="17">E63</f>
        <v>0</v>
      </c>
      <c r="F62" s="198">
        <f t="shared" si="17"/>
        <v>0</v>
      </c>
      <c r="G62" s="198">
        <f t="shared" si="17"/>
        <v>0</v>
      </c>
      <c r="H62" s="198">
        <f t="shared" si="17"/>
        <v>0</v>
      </c>
      <c r="I62" s="198">
        <f t="shared" si="17"/>
        <v>0</v>
      </c>
      <c r="J62" s="198">
        <f t="shared" si="17"/>
        <v>0</v>
      </c>
      <c r="K62" s="198">
        <f t="shared" si="17"/>
        <v>0</v>
      </c>
      <c r="L62" s="198">
        <f t="shared" si="17"/>
        <v>0</v>
      </c>
      <c r="M62" s="198">
        <f t="shared" si="17"/>
        <v>0</v>
      </c>
      <c r="N62" s="198">
        <f t="shared" si="17"/>
        <v>0</v>
      </c>
      <c r="O62" s="198">
        <f t="shared" si="17"/>
        <v>0</v>
      </c>
      <c r="P62" s="198">
        <f t="shared" si="17"/>
        <v>0</v>
      </c>
      <c r="Q62" s="198">
        <f t="shared" si="17"/>
        <v>0</v>
      </c>
      <c r="R62" s="198">
        <f t="shared" si="17"/>
        <v>0</v>
      </c>
      <c r="S62" s="198">
        <f t="shared" si="17"/>
        <v>0</v>
      </c>
      <c r="T62" s="198">
        <f t="shared" si="17"/>
        <v>0</v>
      </c>
      <c r="U62" s="198">
        <f t="shared" si="17"/>
        <v>0</v>
      </c>
      <c r="V62" s="198">
        <f t="shared" si="17"/>
        <v>0</v>
      </c>
      <c r="W62" s="198">
        <f t="shared" si="17"/>
        <v>0</v>
      </c>
      <c r="X62" s="198">
        <f t="shared" si="17"/>
        <v>0</v>
      </c>
      <c r="Y62" s="198">
        <f t="shared" si="17"/>
        <v>0</v>
      </c>
      <c r="Z62" s="198">
        <f t="shared" si="17"/>
        <v>0</v>
      </c>
      <c r="AA62" s="198">
        <f t="shared" si="17"/>
        <v>0</v>
      </c>
      <c r="AB62" s="198">
        <f t="shared" si="17"/>
        <v>0</v>
      </c>
      <c r="AC62" s="198">
        <f t="shared" si="17"/>
        <v>0</v>
      </c>
      <c r="AD62" s="198">
        <f t="shared" si="17"/>
        <v>0</v>
      </c>
      <c r="AE62" s="333"/>
      <c r="AF62" s="333">
        <f t="shared" si="17"/>
        <v>0</v>
      </c>
      <c r="AG62" s="198">
        <f t="shared" si="17"/>
        <v>0</v>
      </c>
      <c r="AH62" s="198">
        <f t="shared" si="17"/>
        <v>0</v>
      </c>
      <c r="AI62" s="198">
        <f t="shared" si="17"/>
        <v>0</v>
      </c>
      <c r="AJ62" s="198">
        <f t="shared" si="17"/>
        <v>0</v>
      </c>
      <c r="AK62" s="198">
        <f t="shared" si="17"/>
        <v>0</v>
      </c>
      <c r="AL62" s="198">
        <f t="shared" si="17"/>
        <v>0</v>
      </c>
      <c r="AM62" s="333"/>
      <c r="AN62" s="333">
        <f t="shared" si="17"/>
        <v>0</v>
      </c>
    </row>
    <row r="63" spans="1:40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67"/>
      <c r="AF63" s="367"/>
      <c r="AG63" s="351"/>
      <c r="AH63" s="351"/>
      <c r="AI63" s="351"/>
      <c r="AJ63" s="351"/>
      <c r="AK63" s="351"/>
      <c r="AL63" s="351"/>
      <c r="AM63" s="367"/>
      <c r="AN63" s="367"/>
    </row>
    <row r="64" spans="1:40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476"/>
      <c r="AF64" s="477"/>
      <c r="AG64" s="206"/>
      <c r="AH64" s="206"/>
      <c r="AI64" s="206"/>
      <c r="AJ64" s="206"/>
      <c r="AK64" s="206"/>
      <c r="AL64" s="206"/>
      <c r="AM64" s="476"/>
      <c r="AN64" s="477"/>
    </row>
    <row r="65" spans="1:40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  <c r="AE65" s="478"/>
      <c r="AF65" s="478"/>
      <c r="AM65" s="478"/>
      <c r="AN65" s="478"/>
    </row>
    <row r="66" spans="1:40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AE66" s="478"/>
      <c r="AF66" s="478"/>
      <c r="AM66" s="478"/>
      <c r="AN66" s="478"/>
    </row>
    <row r="67" spans="1:40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  <c r="AE67" s="479"/>
      <c r="AF67" s="479"/>
      <c r="AM67" s="479"/>
      <c r="AN67" s="479"/>
    </row>
    <row r="68" spans="1:40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  <c r="AE68" s="478"/>
      <c r="AF68" s="478"/>
      <c r="AM68" s="478"/>
      <c r="AN68" s="478"/>
    </row>
    <row r="69" spans="1:40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  <c r="AE69" s="478"/>
      <c r="AF69" s="478"/>
      <c r="AM69" s="478"/>
      <c r="AN69" s="478"/>
    </row>
    <row r="70" spans="1:40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  <c r="AE70" s="480"/>
      <c r="AF70" s="480"/>
      <c r="AM70" s="480"/>
      <c r="AN70" s="480"/>
    </row>
    <row r="71" spans="1:40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  <c r="AE71" s="479"/>
      <c r="AF71" s="479"/>
      <c r="AM71" s="479"/>
      <c r="AN71" s="479"/>
    </row>
    <row r="72" spans="1:40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  <c r="AE72" s="479"/>
      <c r="AF72" s="479"/>
      <c r="AM72" s="479"/>
      <c r="AN72" s="479"/>
    </row>
    <row r="73" spans="1:40" s="310" customFormat="1" collapsed="1" x14ac:dyDescent="0.25">
      <c r="A73" s="20" t="s">
        <v>528</v>
      </c>
      <c r="B73" s="265" t="s">
        <v>529</v>
      </c>
      <c r="C73" s="307"/>
      <c r="D73" s="461">
        <f>SUM(D74:D75)</f>
        <v>0</v>
      </c>
      <c r="E73" s="461">
        <f t="shared" ref="E73:AN73" si="18">SUM(E74:E75)</f>
        <v>0</v>
      </c>
      <c r="F73" s="461">
        <f t="shared" si="18"/>
        <v>0</v>
      </c>
      <c r="G73" s="461">
        <f t="shared" si="18"/>
        <v>0</v>
      </c>
      <c r="H73" s="461">
        <f t="shared" si="18"/>
        <v>0</v>
      </c>
      <c r="I73" s="461">
        <f t="shared" si="18"/>
        <v>0</v>
      </c>
      <c r="J73" s="461">
        <f t="shared" si="18"/>
        <v>0</v>
      </c>
      <c r="K73" s="461">
        <f t="shared" si="18"/>
        <v>0</v>
      </c>
      <c r="L73" s="461">
        <f t="shared" si="18"/>
        <v>0</v>
      </c>
      <c r="M73" s="461">
        <f t="shared" si="18"/>
        <v>0</v>
      </c>
      <c r="N73" s="461">
        <f t="shared" si="18"/>
        <v>0</v>
      </c>
      <c r="O73" s="461">
        <f t="shared" si="18"/>
        <v>0</v>
      </c>
      <c r="P73" s="461">
        <f t="shared" si="18"/>
        <v>0</v>
      </c>
      <c r="Q73" s="461">
        <f t="shared" si="18"/>
        <v>0</v>
      </c>
      <c r="R73" s="461">
        <f t="shared" si="18"/>
        <v>0</v>
      </c>
      <c r="S73" s="461">
        <f t="shared" si="18"/>
        <v>0</v>
      </c>
      <c r="T73" s="461">
        <f t="shared" si="18"/>
        <v>0</v>
      </c>
      <c r="U73" s="461">
        <f t="shared" si="18"/>
        <v>0</v>
      </c>
      <c r="V73" s="461">
        <f t="shared" si="18"/>
        <v>0</v>
      </c>
      <c r="W73" s="461">
        <f t="shared" si="18"/>
        <v>0</v>
      </c>
      <c r="X73" s="461">
        <f t="shared" si="18"/>
        <v>0</v>
      </c>
      <c r="Y73" s="461">
        <f t="shared" si="18"/>
        <v>0</v>
      </c>
      <c r="Z73" s="461">
        <f t="shared" si="18"/>
        <v>5.1170048435690996</v>
      </c>
      <c r="AA73" s="461">
        <f t="shared" si="18"/>
        <v>0</v>
      </c>
      <c r="AB73" s="461">
        <f t="shared" si="18"/>
        <v>0</v>
      </c>
      <c r="AC73" s="461">
        <f t="shared" si="18"/>
        <v>0</v>
      </c>
      <c r="AD73" s="461">
        <f t="shared" si="18"/>
        <v>0</v>
      </c>
      <c r="AE73" s="481">
        <f t="shared" si="18"/>
        <v>0</v>
      </c>
      <c r="AF73" s="481">
        <f t="shared" si="18"/>
        <v>1</v>
      </c>
      <c r="AG73" s="461">
        <f t="shared" si="18"/>
        <v>0</v>
      </c>
      <c r="AH73" s="461">
        <f t="shared" si="18"/>
        <v>5.1170048435690996</v>
      </c>
      <c r="AI73" s="461">
        <f t="shared" si="18"/>
        <v>0</v>
      </c>
      <c r="AJ73" s="461">
        <f t="shared" si="18"/>
        <v>0</v>
      </c>
      <c r="AK73" s="461">
        <f t="shared" si="18"/>
        <v>0</v>
      </c>
      <c r="AL73" s="461">
        <f t="shared" si="18"/>
        <v>0</v>
      </c>
      <c r="AM73" s="481">
        <f t="shared" si="18"/>
        <v>0</v>
      </c>
      <c r="AN73" s="481">
        <f t="shared" si="18"/>
        <v>1</v>
      </c>
    </row>
    <row r="74" spans="1:40" s="345" customFormat="1" x14ac:dyDescent="0.25">
      <c r="A74" s="341" t="s">
        <v>530</v>
      </c>
      <c r="B74" s="419" t="s">
        <v>708</v>
      </c>
      <c r="C74" s="390" t="s">
        <v>733</v>
      </c>
      <c r="D74" s="358"/>
      <c r="E74" s="369"/>
      <c r="F74" s="369"/>
      <c r="G74" s="358"/>
      <c r="H74" s="358"/>
      <c r="I74" s="358"/>
      <c r="J74" s="363"/>
      <c r="K74" s="358"/>
      <c r="L74" s="358"/>
      <c r="M74" s="363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67"/>
      <c r="AF74" s="367"/>
      <c r="AG74" s="358"/>
      <c r="AH74" s="351">
        <f t="shared" ref="AH74:AL75" si="19">E74+L74+S74+Z74</f>
        <v>0</v>
      </c>
      <c r="AI74" s="351">
        <f t="shared" si="19"/>
        <v>0</v>
      </c>
      <c r="AJ74" s="351">
        <f t="shared" si="19"/>
        <v>0</v>
      </c>
      <c r="AK74" s="351">
        <f t="shared" si="19"/>
        <v>0</v>
      </c>
      <c r="AL74" s="351">
        <f t="shared" si="19"/>
        <v>0</v>
      </c>
      <c r="AM74" s="367">
        <f t="shared" ref="AM74:AN75" si="20">J74+Q74+X74+AE74</f>
        <v>0</v>
      </c>
      <c r="AN74" s="367">
        <f t="shared" si="20"/>
        <v>0</v>
      </c>
    </row>
    <row r="75" spans="1:40" s="345" customFormat="1" x14ac:dyDescent="0.25">
      <c r="A75" s="341" t="s">
        <v>707</v>
      </c>
      <c r="B75" s="419" t="s">
        <v>709</v>
      </c>
      <c r="C75" s="390" t="s">
        <v>734</v>
      </c>
      <c r="D75" s="358"/>
      <c r="E75" s="369"/>
      <c r="F75" s="369"/>
      <c r="G75" s="358"/>
      <c r="H75" s="358"/>
      <c r="I75" s="358"/>
      <c r="J75" s="363"/>
      <c r="K75" s="358"/>
      <c r="L75" s="358"/>
      <c r="M75" s="363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>
        <f>Ф4!BQ75</f>
        <v>5.1170048435690996</v>
      </c>
      <c r="AA75" s="358">
        <f>Ф4!BR75</f>
        <v>0</v>
      </c>
      <c r="AB75" s="358">
        <f>Ф4!BS75</f>
        <v>0</v>
      </c>
      <c r="AC75" s="358">
        <f>Ф4!BT75</f>
        <v>0</v>
      </c>
      <c r="AD75" s="358">
        <f>Ф4!BU75</f>
        <v>0</v>
      </c>
      <c r="AE75" s="367">
        <f>Ф4!BV75</f>
        <v>0</v>
      </c>
      <c r="AF75" s="367">
        <f>Ф4!BW75</f>
        <v>1</v>
      </c>
      <c r="AG75" s="358"/>
      <c r="AH75" s="351">
        <f t="shared" si="19"/>
        <v>5.1170048435690996</v>
      </c>
      <c r="AI75" s="351">
        <f t="shared" si="19"/>
        <v>0</v>
      </c>
      <c r="AJ75" s="351">
        <f t="shared" si="19"/>
        <v>0</v>
      </c>
      <c r="AK75" s="351">
        <f t="shared" si="19"/>
        <v>0</v>
      </c>
      <c r="AL75" s="351">
        <f t="shared" si="19"/>
        <v>0</v>
      </c>
      <c r="AM75" s="367">
        <f t="shared" si="20"/>
        <v>0</v>
      </c>
      <c r="AN75" s="367">
        <f t="shared" si="20"/>
        <v>1</v>
      </c>
    </row>
    <row r="78" spans="1:40" ht="18.75" x14ac:dyDescent="0.25">
      <c r="B78" s="278" t="s">
        <v>77</v>
      </c>
      <c r="C78" s="279"/>
      <c r="D78" s="279"/>
      <c r="E78" s="279" t="s">
        <v>668</v>
      </c>
    </row>
    <row r="79" spans="1:40" ht="18.75" x14ac:dyDescent="0.25">
      <c r="B79" s="278"/>
      <c r="C79" s="279"/>
      <c r="D79" s="279"/>
      <c r="E79" s="279"/>
    </row>
    <row r="80" spans="1:40" ht="18.75" x14ac:dyDescent="0.25">
      <c r="B80" s="278"/>
      <c r="C80" s="279"/>
      <c r="D80" s="279"/>
      <c r="E80" s="279"/>
    </row>
    <row r="83" spans="1:34" s="41" customFormat="1" x14ac:dyDescent="0.25">
      <c r="A83" s="613" t="s">
        <v>207</v>
      </c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136"/>
      <c r="R83" s="426"/>
      <c r="S83" s="426"/>
      <c r="T83" s="426"/>
      <c r="U83" s="426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</row>
    <row r="84" spans="1:34" s="41" customFormat="1" x14ac:dyDescent="0.25">
      <c r="A84" s="614" t="s">
        <v>208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425"/>
      <c r="S84" s="425"/>
      <c r="T84" s="425"/>
      <c r="U84" s="425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</row>
    <row r="85" spans="1:34" s="41" customFormat="1" x14ac:dyDescent="0.25">
      <c r="A85" s="614" t="s">
        <v>209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139"/>
      <c r="R85" s="425"/>
      <c r="S85" s="425"/>
      <c r="T85" s="425"/>
      <c r="U85" s="425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</row>
    <row r="86" spans="1:34" s="41" customFormat="1" x14ac:dyDescent="0.25">
      <c r="A86" s="614" t="s">
        <v>210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139"/>
      <c r="R86" s="425"/>
      <c r="S86" s="425"/>
      <c r="T86" s="425"/>
      <c r="U86" s="425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</row>
  </sheetData>
  <mergeCells count="26">
    <mergeCell ref="A83:P83"/>
    <mergeCell ref="A84:P84"/>
    <mergeCell ref="A85:P85"/>
    <mergeCell ref="A86:P86"/>
    <mergeCell ref="AG13:AN13"/>
    <mergeCell ref="E14:J14"/>
    <mergeCell ref="L14:Q14"/>
    <mergeCell ref="S14:X14"/>
    <mergeCell ref="Z14:AF14"/>
    <mergeCell ref="AH14:AN14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9:AN9"/>
    <mergeCell ref="A1:AN1"/>
    <mergeCell ref="A2:AN2"/>
    <mergeCell ref="A4:AN4"/>
    <mergeCell ref="A5:AN5"/>
    <mergeCell ref="A7:AN7"/>
  </mergeCells>
  <pageMargins left="0.7" right="0.7" top="0.75" bottom="0.75" header="0.3" footer="0.3"/>
  <pageSetup paperSize="8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6"/>
  <sheetViews>
    <sheetView topLeftCell="A16" zoomScale="59" zoomScaleNormal="59" workbookViewId="0">
      <selection activeCell="S59" sqref="S5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50" bestFit="1" customWidth="1"/>
    <col min="6" max="6" width="6.7109375" style="50" bestFit="1" customWidth="1"/>
    <col min="7" max="9" width="6.7109375" bestFit="1" customWidth="1"/>
    <col min="10" max="10" width="6.7109375" style="55" bestFit="1" customWidth="1"/>
    <col min="11" max="11" width="18.85546875" customWidth="1"/>
    <col min="12" max="12" width="7.42578125" bestFit="1" customWidth="1"/>
    <col min="13" max="13" width="6.7109375" style="55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10" bestFit="1" customWidth="1"/>
    <col min="27" max="30" width="6.7109375" bestFit="1" customWidth="1"/>
    <col min="31" max="31" width="6.7109375" customWidth="1"/>
    <col min="32" max="32" width="6.7109375" bestFit="1" customWidth="1"/>
    <col min="33" max="33" width="19" customWidth="1"/>
    <col min="34" max="34" width="10.42578125" customWidth="1"/>
    <col min="35" max="38" width="6.7109375" bestFit="1" customWidth="1"/>
    <col min="39" max="39" width="6.7109375" customWidth="1"/>
    <col min="40" max="40" width="6.7109375" bestFit="1" customWidth="1"/>
  </cols>
  <sheetData>
    <row r="1" spans="1:40" s="41" customFormat="1" ht="18.75" x14ac:dyDescent="0.3">
      <c r="A1" s="647" t="s">
        <v>313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</row>
    <row r="2" spans="1:40" s="41" customFormat="1" ht="18.75" x14ac:dyDescent="0.3">
      <c r="A2" s="605" t="s">
        <v>772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</row>
    <row r="3" spans="1:40" s="41" customFormat="1" x14ac:dyDescent="0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</row>
    <row r="4" spans="1:40" s="41" customFormat="1" ht="18.75" x14ac:dyDescent="0.25">
      <c r="A4" s="603" t="s">
        <v>123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</row>
    <row r="5" spans="1:40" s="41" customFormat="1" x14ac:dyDescent="0.25">
      <c r="A5" s="606" t="s">
        <v>124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</row>
    <row r="6" spans="1:40" s="41" customFormat="1" x14ac:dyDescent="0.25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</row>
    <row r="7" spans="1:40" s="41" customFormat="1" x14ac:dyDescent="0.25">
      <c r="A7" s="601" t="s">
        <v>768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</row>
    <row r="8" spans="1:40" s="41" customFormat="1" ht="18.75" x14ac:dyDescent="0.3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</row>
    <row r="9" spans="1:40" s="41" customFormat="1" ht="18.75" x14ac:dyDescent="0.25">
      <c r="A9" s="641" t="s">
        <v>3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</row>
    <row r="10" spans="1:40" s="41" customFormat="1" x14ac:dyDescent="0.25">
      <c r="A10" s="642" t="s">
        <v>226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</row>
    <row r="11" spans="1:40" s="41" customFormat="1" x14ac:dyDescent="0.25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</row>
    <row r="12" spans="1:40" s="41" customFormat="1" x14ac:dyDescent="0.25">
      <c r="A12" s="644" t="s">
        <v>4</v>
      </c>
      <c r="B12" s="644" t="s">
        <v>5</v>
      </c>
      <c r="C12" s="644" t="s">
        <v>6</v>
      </c>
      <c r="D12" s="645" t="s">
        <v>314</v>
      </c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</row>
    <row r="13" spans="1:40" s="41" customFormat="1" x14ac:dyDescent="0.25">
      <c r="A13" s="644"/>
      <c r="B13" s="644"/>
      <c r="C13" s="644"/>
      <c r="D13" s="645" t="s">
        <v>315</v>
      </c>
      <c r="E13" s="645"/>
      <c r="F13" s="645"/>
      <c r="G13" s="645"/>
      <c r="H13" s="645"/>
      <c r="I13" s="645"/>
      <c r="J13" s="645"/>
      <c r="K13" s="645" t="s">
        <v>316</v>
      </c>
      <c r="L13" s="645"/>
      <c r="M13" s="645"/>
      <c r="N13" s="645"/>
      <c r="O13" s="645"/>
      <c r="P13" s="645"/>
      <c r="Q13" s="645"/>
      <c r="R13" s="645" t="s">
        <v>317</v>
      </c>
      <c r="S13" s="645"/>
      <c r="T13" s="645"/>
      <c r="U13" s="645"/>
      <c r="V13" s="645"/>
      <c r="W13" s="645"/>
      <c r="X13" s="645"/>
      <c r="Y13" s="645" t="s">
        <v>318</v>
      </c>
      <c r="Z13" s="645"/>
      <c r="AA13" s="645"/>
      <c r="AB13" s="645"/>
      <c r="AC13" s="645"/>
      <c r="AD13" s="645"/>
      <c r="AE13" s="645"/>
      <c r="AF13" s="645"/>
      <c r="AG13" s="644" t="s">
        <v>319</v>
      </c>
      <c r="AH13" s="644"/>
      <c r="AI13" s="644"/>
      <c r="AJ13" s="644"/>
      <c r="AK13" s="644"/>
      <c r="AL13" s="644"/>
      <c r="AM13" s="644"/>
      <c r="AN13" s="644"/>
    </row>
    <row r="14" spans="1:40" s="41" customFormat="1" ht="31.5" x14ac:dyDescent="0.25">
      <c r="A14" s="644"/>
      <c r="B14" s="644"/>
      <c r="C14" s="644"/>
      <c r="D14" s="431" t="s">
        <v>234</v>
      </c>
      <c r="E14" s="645" t="s">
        <v>235</v>
      </c>
      <c r="F14" s="645"/>
      <c r="G14" s="645"/>
      <c r="H14" s="645"/>
      <c r="I14" s="645"/>
      <c r="J14" s="645"/>
      <c r="K14" s="431" t="s">
        <v>234</v>
      </c>
      <c r="L14" s="644" t="s">
        <v>235</v>
      </c>
      <c r="M14" s="644"/>
      <c r="N14" s="644"/>
      <c r="O14" s="644"/>
      <c r="P14" s="644"/>
      <c r="Q14" s="644"/>
      <c r="R14" s="431" t="s">
        <v>234</v>
      </c>
      <c r="S14" s="644" t="s">
        <v>235</v>
      </c>
      <c r="T14" s="644"/>
      <c r="U14" s="644"/>
      <c r="V14" s="644"/>
      <c r="W14" s="644"/>
      <c r="X14" s="644"/>
      <c r="Y14" s="431" t="s">
        <v>234</v>
      </c>
      <c r="Z14" s="644" t="s">
        <v>235</v>
      </c>
      <c r="AA14" s="644"/>
      <c r="AB14" s="644"/>
      <c r="AC14" s="644"/>
      <c r="AD14" s="644"/>
      <c r="AE14" s="644"/>
      <c r="AF14" s="644"/>
      <c r="AG14" s="431" t="s">
        <v>234</v>
      </c>
      <c r="AH14" s="644" t="s">
        <v>235</v>
      </c>
      <c r="AI14" s="644"/>
      <c r="AJ14" s="644"/>
      <c r="AK14" s="644"/>
      <c r="AL14" s="644"/>
      <c r="AM14" s="644"/>
      <c r="AN14" s="644"/>
    </row>
    <row r="15" spans="1:40" s="41" customFormat="1" ht="66" x14ac:dyDescent="0.25">
      <c r="A15" s="644"/>
      <c r="B15" s="644"/>
      <c r="C15" s="644"/>
      <c r="D15" s="428" t="s">
        <v>236</v>
      </c>
      <c r="E15" s="428" t="s">
        <v>236</v>
      </c>
      <c r="F15" s="429" t="s">
        <v>237</v>
      </c>
      <c r="G15" s="429" t="s">
        <v>238</v>
      </c>
      <c r="H15" s="429" t="s">
        <v>239</v>
      </c>
      <c r="I15" s="429" t="s">
        <v>240</v>
      </c>
      <c r="J15" s="429" t="s">
        <v>241</v>
      </c>
      <c r="K15" s="428" t="s">
        <v>236</v>
      </c>
      <c r="L15" s="428" t="s">
        <v>236</v>
      </c>
      <c r="M15" s="429" t="s">
        <v>237</v>
      </c>
      <c r="N15" s="429" t="s">
        <v>238</v>
      </c>
      <c r="O15" s="429" t="s">
        <v>239</v>
      </c>
      <c r="P15" s="429" t="s">
        <v>240</v>
      </c>
      <c r="Q15" s="429" t="s">
        <v>241</v>
      </c>
      <c r="R15" s="428" t="s">
        <v>236</v>
      </c>
      <c r="S15" s="428" t="s">
        <v>236</v>
      </c>
      <c r="T15" s="429" t="s">
        <v>237</v>
      </c>
      <c r="U15" s="429" t="s">
        <v>238</v>
      </c>
      <c r="V15" s="429" t="s">
        <v>239</v>
      </c>
      <c r="W15" s="429" t="s">
        <v>240</v>
      </c>
      <c r="X15" s="429" t="s">
        <v>241</v>
      </c>
      <c r="Y15" s="428" t="s">
        <v>236</v>
      </c>
      <c r="Z15" s="428" t="s">
        <v>236</v>
      </c>
      <c r="AA15" s="429" t="s">
        <v>237</v>
      </c>
      <c r="AB15" s="429" t="s">
        <v>238</v>
      </c>
      <c r="AC15" s="429" t="s">
        <v>239</v>
      </c>
      <c r="AD15" s="429" t="s">
        <v>240</v>
      </c>
      <c r="AE15" s="429" t="s">
        <v>572</v>
      </c>
      <c r="AF15" s="429" t="s">
        <v>573</v>
      </c>
      <c r="AG15" s="428" t="s">
        <v>236</v>
      </c>
      <c r="AH15" s="428" t="s">
        <v>236</v>
      </c>
      <c r="AI15" s="429" t="s">
        <v>237</v>
      </c>
      <c r="AJ15" s="429" t="s">
        <v>238</v>
      </c>
      <c r="AK15" s="429" t="s">
        <v>239</v>
      </c>
      <c r="AL15" s="429" t="s">
        <v>240</v>
      </c>
      <c r="AM15" s="429" t="s">
        <v>572</v>
      </c>
      <c r="AN15" s="429" t="s">
        <v>573</v>
      </c>
    </row>
    <row r="16" spans="1:40" s="41" customFormat="1" x14ac:dyDescent="0.25">
      <c r="A16" s="430">
        <v>1</v>
      </c>
      <c r="B16" s="430">
        <v>2</v>
      </c>
      <c r="C16" s="430">
        <v>3</v>
      </c>
      <c r="D16" s="178" t="s">
        <v>320</v>
      </c>
      <c r="E16" s="178" t="s">
        <v>321</v>
      </c>
      <c r="F16" s="178" t="s">
        <v>322</v>
      </c>
      <c r="G16" s="178" t="s">
        <v>323</v>
      </c>
      <c r="H16" s="178" t="s">
        <v>324</v>
      </c>
      <c r="I16" s="178" t="s">
        <v>325</v>
      </c>
      <c r="J16" s="178" t="s">
        <v>326</v>
      </c>
      <c r="K16" s="178" t="s">
        <v>327</v>
      </c>
      <c r="L16" s="178" t="s">
        <v>328</v>
      </c>
      <c r="M16" s="178" t="s">
        <v>329</v>
      </c>
      <c r="N16" s="178" t="s">
        <v>330</v>
      </c>
      <c r="O16" s="178" t="s">
        <v>331</v>
      </c>
      <c r="P16" s="178" t="s">
        <v>332</v>
      </c>
      <c r="Q16" s="178" t="s">
        <v>333</v>
      </c>
      <c r="R16" s="178" t="s">
        <v>334</v>
      </c>
      <c r="S16" s="178" t="s">
        <v>335</v>
      </c>
      <c r="T16" s="178" t="s">
        <v>336</v>
      </c>
      <c r="U16" s="178" t="s">
        <v>337</v>
      </c>
      <c r="V16" s="178" t="s">
        <v>338</v>
      </c>
      <c r="W16" s="178" t="s">
        <v>339</v>
      </c>
      <c r="X16" s="178" t="s">
        <v>340</v>
      </c>
      <c r="Y16" s="178" t="s">
        <v>341</v>
      </c>
      <c r="Z16" s="178" t="s">
        <v>342</v>
      </c>
      <c r="AA16" s="178" t="s">
        <v>343</v>
      </c>
      <c r="AB16" s="178" t="s">
        <v>344</v>
      </c>
      <c r="AC16" s="178" t="s">
        <v>345</v>
      </c>
      <c r="AD16" s="178" t="s">
        <v>346</v>
      </c>
      <c r="AE16" s="178"/>
      <c r="AF16" s="178" t="s">
        <v>347</v>
      </c>
      <c r="AG16" s="178" t="s">
        <v>348</v>
      </c>
      <c r="AH16" s="178" t="s">
        <v>349</v>
      </c>
      <c r="AI16" s="178" t="s">
        <v>350</v>
      </c>
      <c r="AJ16" s="178" t="s">
        <v>351</v>
      </c>
      <c r="AK16" s="178" t="s">
        <v>312</v>
      </c>
      <c r="AL16" s="178" t="s">
        <v>352</v>
      </c>
      <c r="AM16" s="178"/>
      <c r="AN16" s="178" t="s">
        <v>353</v>
      </c>
    </row>
    <row r="17" spans="1:40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0</v>
      </c>
      <c r="E17" s="184">
        <f t="shared" ref="E17:AN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  <c r="L17" s="184">
        <f t="shared" si="0"/>
        <v>0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184">
        <f t="shared" si="0"/>
        <v>0</v>
      </c>
      <c r="Q17" s="184">
        <f t="shared" si="0"/>
        <v>0</v>
      </c>
      <c r="R17" s="184">
        <f t="shared" si="0"/>
        <v>0</v>
      </c>
      <c r="S17" s="184">
        <f t="shared" si="0"/>
        <v>0</v>
      </c>
      <c r="T17" s="184">
        <f t="shared" si="0"/>
        <v>0</v>
      </c>
      <c r="U17" s="184">
        <f t="shared" si="0"/>
        <v>0</v>
      </c>
      <c r="V17" s="184">
        <f t="shared" si="0"/>
        <v>0</v>
      </c>
      <c r="W17" s="184">
        <f t="shared" si="0"/>
        <v>0</v>
      </c>
      <c r="X17" s="184">
        <f t="shared" si="0"/>
        <v>0</v>
      </c>
      <c r="Y17" s="184">
        <f t="shared" si="0"/>
        <v>0</v>
      </c>
      <c r="Z17" s="184">
        <f t="shared" si="0"/>
        <v>16.122194799396958</v>
      </c>
      <c r="AA17" s="184">
        <f t="shared" si="0"/>
        <v>0</v>
      </c>
      <c r="AB17" s="184">
        <f t="shared" si="0"/>
        <v>0</v>
      </c>
      <c r="AC17" s="184">
        <f t="shared" si="0"/>
        <v>0</v>
      </c>
      <c r="AD17" s="184">
        <f t="shared" si="0"/>
        <v>0</v>
      </c>
      <c r="AE17" s="473">
        <f t="shared" si="0"/>
        <v>213</v>
      </c>
      <c r="AF17" s="473">
        <f t="shared" si="0"/>
        <v>0</v>
      </c>
      <c r="AG17" s="184">
        <f t="shared" si="0"/>
        <v>0</v>
      </c>
      <c r="AH17" s="184">
        <f t="shared" si="0"/>
        <v>16.122194799396958</v>
      </c>
      <c r="AI17" s="184">
        <f t="shared" si="0"/>
        <v>0</v>
      </c>
      <c r="AJ17" s="184">
        <f t="shared" si="0"/>
        <v>0</v>
      </c>
      <c r="AK17" s="184">
        <f t="shared" si="0"/>
        <v>0</v>
      </c>
      <c r="AL17" s="184">
        <f t="shared" si="0"/>
        <v>0</v>
      </c>
      <c r="AM17" s="473">
        <f t="shared" si="0"/>
        <v>213</v>
      </c>
      <c r="AN17" s="473">
        <f t="shared" si="0"/>
        <v>0</v>
      </c>
    </row>
    <row r="18" spans="1:40" s="189" customFormat="1" x14ac:dyDescent="0.25">
      <c r="A18" s="186" t="s">
        <v>81</v>
      </c>
      <c r="B18" s="9" t="s">
        <v>36</v>
      </c>
      <c r="C18" s="187">
        <v>0</v>
      </c>
      <c r="D18" s="187">
        <f>D38+D73</f>
        <v>0</v>
      </c>
      <c r="E18" s="187">
        <f t="shared" ref="E18:AN18" si="1">E38+E73</f>
        <v>0</v>
      </c>
      <c r="F18" s="187">
        <f t="shared" si="1"/>
        <v>0</v>
      </c>
      <c r="G18" s="187">
        <f t="shared" si="1"/>
        <v>0</v>
      </c>
      <c r="H18" s="187">
        <f t="shared" si="1"/>
        <v>0</v>
      </c>
      <c r="I18" s="187">
        <f t="shared" si="1"/>
        <v>0</v>
      </c>
      <c r="J18" s="187">
        <f t="shared" si="1"/>
        <v>0</v>
      </c>
      <c r="K18" s="187">
        <f t="shared" si="1"/>
        <v>0</v>
      </c>
      <c r="L18" s="187">
        <f t="shared" si="1"/>
        <v>0</v>
      </c>
      <c r="M18" s="187">
        <f t="shared" si="1"/>
        <v>0</v>
      </c>
      <c r="N18" s="187">
        <f t="shared" si="1"/>
        <v>0</v>
      </c>
      <c r="O18" s="187">
        <f t="shared" si="1"/>
        <v>0</v>
      </c>
      <c r="P18" s="187">
        <f t="shared" si="1"/>
        <v>0</v>
      </c>
      <c r="Q18" s="187">
        <f t="shared" si="1"/>
        <v>0</v>
      </c>
      <c r="R18" s="187">
        <f t="shared" si="1"/>
        <v>0</v>
      </c>
      <c r="S18" s="187">
        <f t="shared" si="1"/>
        <v>0</v>
      </c>
      <c r="T18" s="187">
        <f t="shared" si="1"/>
        <v>0</v>
      </c>
      <c r="U18" s="187">
        <f t="shared" si="1"/>
        <v>0</v>
      </c>
      <c r="V18" s="187">
        <f t="shared" si="1"/>
        <v>0</v>
      </c>
      <c r="W18" s="187">
        <f t="shared" si="1"/>
        <v>0</v>
      </c>
      <c r="X18" s="187">
        <f t="shared" si="1"/>
        <v>0</v>
      </c>
      <c r="Y18" s="187">
        <f t="shared" si="1"/>
        <v>0</v>
      </c>
      <c r="Z18" s="187">
        <f t="shared" si="1"/>
        <v>16.122194799396958</v>
      </c>
      <c r="AA18" s="187">
        <f t="shared" si="1"/>
        <v>0</v>
      </c>
      <c r="AB18" s="187">
        <f t="shared" si="1"/>
        <v>0</v>
      </c>
      <c r="AC18" s="187">
        <f t="shared" si="1"/>
        <v>0</v>
      </c>
      <c r="AD18" s="187">
        <f t="shared" si="1"/>
        <v>0</v>
      </c>
      <c r="AE18" s="474">
        <f t="shared" si="1"/>
        <v>213</v>
      </c>
      <c r="AF18" s="474">
        <f t="shared" si="1"/>
        <v>0</v>
      </c>
      <c r="AG18" s="187">
        <f t="shared" si="1"/>
        <v>0</v>
      </c>
      <c r="AH18" s="187">
        <f t="shared" si="1"/>
        <v>16.122194799396958</v>
      </c>
      <c r="AI18" s="187">
        <f t="shared" si="1"/>
        <v>0</v>
      </c>
      <c r="AJ18" s="187">
        <f t="shared" si="1"/>
        <v>0</v>
      </c>
      <c r="AK18" s="187">
        <f t="shared" si="1"/>
        <v>0</v>
      </c>
      <c r="AL18" s="187">
        <f t="shared" si="1"/>
        <v>0</v>
      </c>
      <c r="AM18" s="474">
        <f t="shared" si="1"/>
        <v>213</v>
      </c>
      <c r="AN18" s="474">
        <f t="shared" si="1"/>
        <v>0</v>
      </c>
    </row>
    <row r="19" spans="1:40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AN19" si="2">E36</f>
        <v>0</v>
      </c>
      <c r="F19" s="184">
        <f t="shared" si="2"/>
        <v>0</v>
      </c>
      <c r="G19" s="184">
        <f t="shared" si="2"/>
        <v>0</v>
      </c>
      <c r="H19" s="184">
        <f t="shared" si="2"/>
        <v>0</v>
      </c>
      <c r="I19" s="184">
        <f t="shared" si="2"/>
        <v>0</v>
      </c>
      <c r="J19" s="184">
        <f t="shared" si="2"/>
        <v>0</v>
      </c>
      <c r="K19" s="184">
        <f t="shared" si="2"/>
        <v>0</v>
      </c>
      <c r="L19" s="184">
        <f t="shared" si="2"/>
        <v>0</v>
      </c>
      <c r="M19" s="184">
        <f t="shared" si="2"/>
        <v>0</v>
      </c>
      <c r="N19" s="184">
        <f t="shared" si="2"/>
        <v>0</v>
      </c>
      <c r="O19" s="184">
        <f t="shared" si="2"/>
        <v>0</v>
      </c>
      <c r="P19" s="184">
        <f t="shared" si="2"/>
        <v>0</v>
      </c>
      <c r="Q19" s="184">
        <f t="shared" si="2"/>
        <v>0</v>
      </c>
      <c r="R19" s="184">
        <f t="shared" si="2"/>
        <v>0</v>
      </c>
      <c r="S19" s="184">
        <f t="shared" si="2"/>
        <v>0</v>
      </c>
      <c r="T19" s="184">
        <f t="shared" si="2"/>
        <v>0</v>
      </c>
      <c r="U19" s="184">
        <f t="shared" si="2"/>
        <v>0</v>
      </c>
      <c r="V19" s="184">
        <f t="shared" si="2"/>
        <v>0</v>
      </c>
      <c r="W19" s="184">
        <f t="shared" si="2"/>
        <v>0</v>
      </c>
      <c r="X19" s="184">
        <f t="shared" si="2"/>
        <v>0</v>
      </c>
      <c r="Y19" s="184">
        <f t="shared" si="2"/>
        <v>0</v>
      </c>
      <c r="Z19" s="184">
        <f t="shared" si="2"/>
        <v>0</v>
      </c>
      <c r="AA19" s="184">
        <f t="shared" si="2"/>
        <v>0</v>
      </c>
      <c r="AB19" s="184">
        <f t="shared" si="2"/>
        <v>0</v>
      </c>
      <c r="AC19" s="184">
        <f t="shared" si="2"/>
        <v>0</v>
      </c>
      <c r="AD19" s="184">
        <f t="shared" si="2"/>
        <v>0</v>
      </c>
      <c r="AE19" s="473"/>
      <c r="AF19" s="473">
        <f t="shared" si="2"/>
        <v>0</v>
      </c>
      <c r="AG19" s="184">
        <f t="shared" si="2"/>
        <v>0</v>
      </c>
      <c r="AH19" s="184">
        <f t="shared" si="2"/>
        <v>0</v>
      </c>
      <c r="AI19" s="184">
        <f t="shared" si="2"/>
        <v>0</v>
      </c>
      <c r="AJ19" s="184">
        <f t="shared" si="2"/>
        <v>0</v>
      </c>
      <c r="AK19" s="184">
        <f t="shared" si="2"/>
        <v>0</v>
      </c>
      <c r="AL19" s="184">
        <f t="shared" si="2"/>
        <v>0</v>
      </c>
      <c r="AM19" s="473"/>
      <c r="AN19" s="473">
        <f t="shared" si="2"/>
        <v>0</v>
      </c>
    </row>
    <row r="20" spans="1:40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475"/>
      <c r="AF20" s="475"/>
      <c r="AG20" s="191"/>
      <c r="AH20" s="191"/>
      <c r="AI20" s="191"/>
      <c r="AJ20" s="191"/>
      <c r="AK20" s="191"/>
      <c r="AL20" s="191"/>
      <c r="AM20" s="475"/>
      <c r="AN20" s="475"/>
    </row>
    <row r="21" spans="1:40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474"/>
      <c r="AF21" s="474"/>
      <c r="AG21" s="187"/>
      <c r="AH21" s="187"/>
      <c r="AI21" s="187"/>
      <c r="AJ21" s="187"/>
      <c r="AK21" s="187"/>
      <c r="AL21" s="187"/>
      <c r="AM21" s="474"/>
      <c r="AN21" s="474"/>
    </row>
    <row r="22" spans="1:40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474"/>
      <c r="AF22" s="474"/>
      <c r="AG22" s="187"/>
      <c r="AH22" s="187"/>
      <c r="AI22" s="187"/>
      <c r="AJ22" s="187"/>
      <c r="AK22" s="187"/>
      <c r="AL22" s="187"/>
      <c r="AM22" s="474"/>
      <c r="AN22" s="474"/>
    </row>
    <row r="23" spans="1:40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474"/>
      <c r="AF23" s="474"/>
      <c r="AG23" s="187"/>
      <c r="AH23" s="187"/>
      <c r="AI23" s="187"/>
      <c r="AJ23" s="187"/>
      <c r="AK23" s="187"/>
      <c r="AL23" s="187"/>
      <c r="AM23" s="474"/>
      <c r="AN23" s="474"/>
    </row>
    <row r="24" spans="1:40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475"/>
      <c r="AF24" s="475"/>
      <c r="AG24" s="191"/>
      <c r="AH24" s="191"/>
      <c r="AI24" s="191"/>
      <c r="AJ24" s="191"/>
      <c r="AK24" s="191"/>
      <c r="AL24" s="191"/>
      <c r="AM24" s="475"/>
      <c r="AN24" s="475"/>
    </row>
    <row r="25" spans="1:40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474"/>
      <c r="AF25" s="474"/>
      <c r="AG25" s="187"/>
      <c r="AH25" s="187"/>
      <c r="AI25" s="187"/>
      <c r="AJ25" s="187"/>
      <c r="AK25" s="187"/>
      <c r="AL25" s="187"/>
      <c r="AM25" s="474"/>
      <c r="AN25" s="474"/>
    </row>
    <row r="26" spans="1:40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474"/>
      <c r="AF26" s="474"/>
      <c r="AG26" s="187"/>
      <c r="AH26" s="187"/>
      <c r="AI26" s="187"/>
      <c r="AJ26" s="187"/>
      <c r="AK26" s="187"/>
      <c r="AL26" s="187"/>
      <c r="AM26" s="474"/>
      <c r="AN26" s="474"/>
    </row>
    <row r="27" spans="1:40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475"/>
      <c r="AF27" s="475"/>
      <c r="AG27" s="191"/>
      <c r="AH27" s="191"/>
      <c r="AI27" s="191"/>
      <c r="AJ27" s="191"/>
      <c r="AK27" s="191"/>
      <c r="AL27" s="191"/>
      <c r="AM27" s="475"/>
      <c r="AN27" s="475"/>
    </row>
    <row r="28" spans="1:40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474"/>
      <c r="AF28" s="474"/>
      <c r="AG28" s="187"/>
      <c r="AH28" s="187"/>
      <c r="AI28" s="187"/>
      <c r="AJ28" s="187"/>
      <c r="AK28" s="187"/>
      <c r="AL28" s="187"/>
      <c r="AM28" s="474"/>
      <c r="AN28" s="474"/>
    </row>
    <row r="29" spans="1:40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474"/>
      <c r="AF29" s="474"/>
      <c r="AG29" s="187"/>
      <c r="AH29" s="187"/>
      <c r="AI29" s="187"/>
      <c r="AJ29" s="187"/>
      <c r="AK29" s="187"/>
      <c r="AL29" s="187"/>
      <c r="AM29" s="474"/>
      <c r="AN29" s="474"/>
    </row>
    <row r="30" spans="1:40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474"/>
      <c r="AF30" s="474"/>
      <c r="AG30" s="187"/>
      <c r="AH30" s="187"/>
      <c r="AI30" s="187"/>
      <c r="AJ30" s="187"/>
      <c r="AK30" s="187"/>
      <c r="AL30" s="187"/>
      <c r="AM30" s="474"/>
      <c r="AN30" s="474"/>
    </row>
    <row r="31" spans="1:40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474"/>
      <c r="AF31" s="474"/>
      <c r="AG31" s="187"/>
      <c r="AH31" s="187"/>
      <c r="AI31" s="187"/>
      <c r="AJ31" s="187"/>
      <c r="AK31" s="187"/>
      <c r="AL31" s="187"/>
      <c r="AM31" s="474"/>
      <c r="AN31" s="474"/>
    </row>
    <row r="32" spans="1:40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474"/>
      <c r="AF32" s="474"/>
      <c r="AG32" s="187"/>
      <c r="AH32" s="187"/>
      <c r="AI32" s="187"/>
      <c r="AJ32" s="187"/>
      <c r="AK32" s="187"/>
      <c r="AL32" s="187"/>
      <c r="AM32" s="474"/>
      <c r="AN32" s="474"/>
    </row>
    <row r="33" spans="1:40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474"/>
      <c r="AF33" s="474"/>
      <c r="AG33" s="187"/>
      <c r="AH33" s="187"/>
      <c r="AI33" s="187"/>
      <c r="AJ33" s="187"/>
      <c r="AK33" s="187"/>
      <c r="AL33" s="187"/>
      <c r="AM33" s="474"/>
      <c r="AN33" s="474"/>
    </row>
    <row r="34" spans="1:40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474"/>
      <c r="AF34" s="474"/>
      <c r="AG34" s="187"/>
      <c r="AH34" s="187"/>
      <c r="AI34" s="187"/>
      <c r="AJ34" s="187"/>
      <c r="AK34" s="187"/>
      <c r="AL34" s="187"/>
      <c r="AM34" s="474"/>
      <c r="AN34" s="474"/>
    </row>
    <row r="35" spans="1:40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474"/>
      <c r="AF35" s="474"/>
      <c r="AG35" s="187"/>
      <c r="AH35" s="187"/>
      <c r="AI35" s="187"/>
      <c r="AJ35" s="187"/>
      <c r="AK35" s="187"/>
      <c r="AL35" s="187"/>
      <c r="AM35" s="474"/>
      <c r="AN35" s="474"/>
    </row>
    <row r="36" spans="1:40" s="196" customFormat="1" ht="63" collapsed="1" x14ac:dyDescent="0.25">
      <c r="A36" s="194" t="s">
        <v>39</v>
      </c>
      <c r="B36" s="65" t="s">
        <v>40</v>
      </c>
      <c r="C36" s="195">
        <v>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332"/>
      <c r="AF36" s="332"/>
      <c r="AG36" s="195"/>
      <c r="AH36" s="195"/>
      <c r="AI36" s="195"/>
      <c r="AJ36" s="195"/>
      <c r="AK36" s="195"/>
      <c r="AL36" s="195"/>
      <c r="AM36" s="332"/>
      <c r="AN36" s="332"/>
    </row>
    <row r="37" spans="1:40" s="193" customFormat="1" ht="47.25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475"/>
      <c r="AF37" s="475"/>
      <c r="AG37" s="191"/>
      <c r="AH37" s="191"/>
      <c r="AI37" s="191"/>
      <c r="AJ37" s="191"/>
      <c r="AK37" s="191"/>
      <c r="AL37" s="191"/>
      <c r="AM37" s="475"/>
      <c r="AN37" s="475"/>
    </row>
    <row r="38" spans="1:40" s="185" customFormat="1" ht="31.5" x14ac:dyDescent="0.25">
      <c r="A38" s="183" t="s">
        <v>42</v>
      </c>
      <c r="B38" s="64" t="s">
        <v>43</v>
      </c>
      <c r="C38" s="184">
        <v>0</v>
      </c>
      <c r="D38" s="184">
        <f>D39+D45+D52</f>
        <v>0</v>
      </c>
      <c r="E38" s="184">
        <f t="shared" ref="E38:AN38" si="3">E39+E45+E52</f>
        <v>0</v>
      </c>
      <c r="F38" s="184">
        <f t="shared" si="3"/>
        <v>0</v>
      </c>
      <c r="G38" s="184">
        <f t="shared" si="3"/>
        <v>0</v>
      </c>
      <c r="H38" s="184">
        <f t="shared" si="3"/>
        <v>0</v>
      </c>
      <c r="I38" s="184">
        <f t="shared" si="3"/>
        <v>0</v>
      </c>
      <c r="J38" s="184">
        <f t="shared" si="3"/>
        <v>0</v>
      </c>
      <c r="K38" s="184">
        <f t="shared" si="3"/>
        <v>0</v>
      </c>
      <c r="L38" s="184">
        <f t="shared" si="3"/>
        <v>0</v>
      </c>
      <c r="M38" s="184">
        <f t="shared" si="3"/>
        <v>0</v>
      </c>
      <c r="N38" s="184">
        <f t="shared" si="3"/>
        <v>0</v>
      </c>
      <c r="O38" s="184">
        <f t="shared" si="3"/>
        <v>0</v>
      </c>
      <c r="P38" s="184">
        <f t="shared" si="3"/>
        <v>0</v>
      </c>
      <c r="Q38" s="184">
        <f t="shared" si="3"/>
        <v>0</v>
      </c>
      <c r="R38" s="184">
        <f t="shared" si="3"/>
        <v>0</v>
      </c>
      <c r="S38" s="184">
        <f t="shared" si="3"/>
        <v>0</v>
      </c>
      <c r="T38" s="184">
        <f t="shared" si="3"/>
        <v>0</v>
      </c>
      <c r="U38" s="184">
        <f t="shared" si="3"/>
        <v>0</v>
      </c>
      <c r="V38" s="184">
        <f t="shared" si="3"/>
        <v>0</v>
      </c>
      <c r="W38" s="184">
        <f t="shared" si="3"/>
        <v>0</v>
      </c>
      <c r="X38" s="184">
        <f t="shared" si="3"/>
        <v>0</v>
      </c>
      <c r="Y38" s="184">
        <f t="shared" si="3"/>
        <v>0</v>
      </c>
      <c r="Z38" s="184">
        <f t="shared" si="3"/>
        <v>16.122194799396958</v>
      </c>
      <c r="AA38" s="184">
        <f t="shared" si="3"/>
        <v>0</v>
      </c>
      <c r="AB38" s="184">
        <f t="shared" si="3"/>
        <v>0</v>
      </c>
      <c r="AC38" s="184">
        <f t="shared" si="3"/>
        <v>0</v>
      </c>
      <c r="AD38" s="184">
        <f t="shared" si="3"/>
        <v>0</v>
      </c>
      <c r="AE38" s="473">
        <f t="shared" si="3"/>
        <v>213</v>
      </c>
      <c r="AF38" s="473">
        <f t="shared" si="3"/>
        <v>0</v>
      </c>
      <c r="AG38" s="184">
        <f t="shared" si="3"/>
        <v>0</v>
      </c>
      <c r="AH38" s="184">
        <f t="shared" si="3"/>
        <v>16.122194799396958</v>
      </c>
      <c r="AI38" s="184">
        <f t="shared" si="3"/>
        <v>0</v>
      </c>
      <c r="AJ38" s="184">
        <f t="shared" si="3"/>
        <v>0</v>
      </c>
      <c r="AK38" s="184">
        <f t="shared" si="3"/>
        <v>0</v>
      </c>
      <c r="AL38" s="184">
        <f t="shared" si="3"/>
        <v>0</v>
      </c>
      <c r="AM38" s="473">
        <f t="shared" si="3"/>
        <v>213</v>
      </c>
      <c r="AN38" s="473">
        <f t="shared" si="3"/>
        <v>0</v>
      </c>
    </row>
    <row r="39" spans="1:40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0</v>
      </c>
      <c r="E39" s="195">
        <f t="shared" ref="E39:AN39" si="4">E40</f>
        <v>0</v>
      </c>
      <c r="F39" s="195">
        <f t="shared" si="4"/>
        <v>0</v>
      </c>
      <c r="G39" s="195">
        <f t="shared" si="4"/>
        <v>0</v>
      </c>
      <c r="H39" s="195">
        <f t="shared" si="4"/>
        <v>0</v>
      </c>
      <c r="I39" s="195">
        <f t="shared" si="4"/>
        <v>0</v>
      </c>
      <c r="J39" s="195">
        <f t="shared" si="4"/>
        <v>0</v>
      </c>
      <c r="K39" s="195">
        <f t="shared" si="4"/>
        <v>0</v>
      </c>
      <c r="L39" s="195">
        <f t="shared" si="4"/>
        <v>0</v>
      </c>
      <c r="M39" s="195">
        <f t="shared" si="4"/>
        <v>0</v>
      </c>
      <c r="N39" s="195">
        <f t="shared" si="4"/>
        <v>0</v>
      </c>
      <c r="O39" s="195">
        <f t="shared" si="4"/>
        <v>0</v>
      </c>
      <c r="P39" s="195">
        <f t="shared" si="4"/>
        <v>0</v>
      </c>
      <c r="Q39" s="195">
        <f t="shared" si="4"/>
        <v>0</v>
      </c>
      <c r="R39" s="195">
        <f t="shared" si="4"/>
        <v>0</v>
      </c>
      <c r="S39" s="195">
        <f t="shared" si="4"/>
        <v>0</v>
      </c>
      <c r="T39" s="195">
        <f t="shared" si="4"/>
        <v>0</v>
      </c>
      <c r="U39" s="195">
        <f t="shared" si="4"/>
        <v>0</v>
      </c>
      <c r="V39" s="195">
        <f t="shared" si="4"/>
        <v>0</v>
      </c>
      <c r="W39" s="195">
        <f t="shared" si="4"/>
        <v>0</v>
      </c>
      <c r="X39" s="195">
        <f t="shared" si="4"/>
        <v>0</v>
      </c>
      <c r="Y39" s="195">
        <f t="shared" si="4"/>
        <v>0</v>
      </c>
      <c r="Z39" s="195">
        <f t="shared" si="4"/>
        <v>10.973329042945689</v>
      </c>
      <c r="AA39" s="195">
        <f t="shared" si="4"/>
        <v>0</v>
      </c>
      <c r="AB39" s="195">
        <f t="shared" si="4"/>
        <v>0</v>
      </c>
      <c r="AC39" s="195">
        <f t="shared" si="4"/>
        <v>0</v>
      </c>
      <c r="AD39" s="195">
        <f t="shared" si="4"/>
        <v>0</v>
      </c>
      <c r="AE39" s="332">
        <f t="shared" si="4"/>
        <v>0</v>
      </c>
      <c r="AF39" s="332">
        <f t="shared" si="4"/>
        <v>0</v>
      </c>
      <c r="AG39" s="195">
        <f t="shared" si="4"/>
        <v>0</v>
      </c>
      <c r="AH39" s="195">
        <f t="shared" si="4"/>
        <v>10.973329042945689</v>
      </c>
      <c r="AI39" s="195">
        <f t="shared" si="4"/>
        <v>0</v>
      </c>
      <c r="AJ39" s="195">
        <f t="shared" si="4"/>
        <v>0</v>
      </c>
      <c r="AK39" s="195">
        <f t="shared" si="4"/>
        <v>0</v>
      </c>
      <c r="AL39" s="195">
        <f t="shared" si="4"/>
        <v>0</v>
      </c>
      <c r="AM39" s="332">
        <f t="shared" si="4"/>
        <v>0</v>
      </c>
      <c r="AN39" s="332">
        <f t="shared" si="4"/>
        <v>0</v>
      </c>
    </row>
    <row r="40" spans="1:40" s="200" customFormat="1" ht="31.5" x14ac:dyDescent="0.25">
      <c r="A40" s="197" t="s">
        <v>44</v>
      </c>
      <c r="B40" s="11" t="s">
        <v>45</v>
      </c>
      <c r="C40" s="198">
        <v>0</v>
      </c>
      <c r="D40" s="198">
        <f>SUM(D41:D43)</f>
        <v>0</v>
      </c>
      <c r="E40" s="198">
        <f t="shared" ref="E40:AN40" si="5">SUM(E41:E43)</f>
        <v>0</v>
      </c>
      <c r="F40" s="198">
        <f t="shared" si="5"/>
        <v>0</v>
      </c>
      <c r="G40" s="198">
        <f t="shared" si="5"/>
        <v>0</v>
      </c>
      <c r="H40" s="198">
        <f t="shared" si="5"/>
        <v>0</v>
      </c>
      <c r="I40" s="198">
        <f t="shared" si="5"/>
        <v>0</v>
      </c>
      <c r="J40" s="198">
        <f t="shared" si="5"/>
        <v>0</v>
      </c>
      <c r="K40" s="198">
        <f t="shared" si="5"/>
        <v>0</v>
      </c>
      <c r="L40" s="198">
        <f t="shared" si="5"/>
        <v>0</v>
      </c>
      <c r="M40" s="198">
        <f t="shared" si="5"/>
        <v>0</v>
      </c>
      <c r="N40" s="198">
        <f t="shared" si="5"/>
        <v>0</v>
      </c>
      <c r="O40" s="198">
        <f t="shared" si="5"/>
        <v>0</v>
      </c>
      <c r="P40" s="198">
        <f t="shared" si="5"/>
        <v>0</v>
      </c>
      <c r="Q40" s="198">
        <f t="shared" si="5"/>
        <v>0</v>
      </c>
      <c r="R40" s="198">
        <f t="shared" si="5"/>
        <v>0</v>
      </c>
      <c r="S40" s="198">
        <f t="shared" si="5"/>
        <v>0</v>
      </c>
      <c r="T40" s="198">
        <f t="shared" si="5"/>
        <v>0</v>
      </c>
      <c r="U40" s="198">
        <f t="shared" si="5"/>
        <v>0</v>
      </c>
      <c r="V40" s="198">
        <f t="shared" si="5"/>
        <v>0</v>
      </c>
      <c r="W40" s="198">
        <f t="shared" si="5"/>
        <v>0</v>
      </c>
      <c r="X40" s="198">
        <f t="shared" si="5"/>
        <v>0</v>
      </c>
      <c r="Y40" s="198">
        <f t="shared" si="5"/>
        <v>0</v>
      </c>
      <c r="Z40" s="198">
        <f t="shared" si="5"/>
        <v>10.973329042945689</v>
      </c>
      <c r="AA40" s="198">
        <f t="shared" si="5"/>
        <v>0</v>
      </c>
      <c r="AB40" s="198">
        <f t="shared" si="5"/>
        <v>0</v>
      </c>
      <c r="AC40" s="198">
        <f t="shared" si="5"/>
        <v>0</v>
      </c>
      <c r="AD40" s="198">
        <f t="shared" si="5"/>
        <v>0</v>
      </c>
      <c r="AE40" s="333">
        <f t="shared" si="5"/>
        <v>0</v>
      </c>
      <c r="AF40" s="333">
        <f t="shared" si="5"/>
        <v>0</v>
      </c>
      <c r="AG40" s="198">
        <f t="shared" si="5"/>
        <v>0</v>
      </c>
      <c r="AH40" s="198">
        <f t="shared" si="5"/>
        <v>10.973329042945689</v>
      </c>
      <c r="AI40" s="198">
        <f t="shared" si="5"/>
        <v>0</v>
      </c>
      <c r="AJ40" s="198">
        <f t="shared" si="5"/>
        <v>0</v>
      </c>
      <c r="AK40" s="198">
        <f t="shared" si="5"/>
        <v>0</v>
      </c>
      <c r="AL40" s="198">
        <f t="shared" si="5"/>
        <v>0</v>
      </c>
      <c r="AM40" s="333">
        <f t="shared" si="5"/>
        <v>0</v>
      </c>
      <c r="AN40" s="333">
        <f t="shared" si="5"/>
        <v>0</v>
      </c>
    </row>
    <row r="41" spans="1:40" s="362" customFormat="1" x14ac:dyDescent="0.25">
      <c r="A41" s="14" t="s">
        <v>46</v>
      </c>
      <c r="B41" s="417" t="s">
        <v>735</v>
      </c>
      <c r="C41" s="390" t="s">
        <v>721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351">
        <v>0</v>
      </c>
      <c r="U41" s="351">
        <v>0</v>
      </c>
      <c r="V41" s="351">
        <v>0</v>
      </c>
      <c r="W41" s="351">
        <v>0</v>
      </c>
      <c r="X41" s="351">
        <v>0</v>
      </c>
      <c r="Y41" s="351">
        <v>0</v>
      </c>
      <c r="Z41" s="351">
        <v>0</v>
      </c>
      <c r="AA41" s="351">
        <v>0</v>
      </c>
      <c r="AB41" s="351">
        <v>0</v>
      </c>
      <c r="AC41" s="351">
        <v>0</v>
      </c>
      <c r="AD41" s="351">
        <v>0</v>
      </c>
      <c r="AE41" s="367"/>
      <c r="AF41" s="367">
        <v>0</v>
      </c>
      <c r="AG41" s="351">
        <f>D41+K41+R41+Y41</f>
        <v>0</v>
      </c>
      <c r="AH41" s="351">
        <f>E41+L41+S41+Z41</f>
        <v>0</v>
      </c>
      <c r="AI41" s="351">
        <f t="shared" ref="AI41:AN43" si="6">F41+M41+T41+AA41</f>
        <v>0</v>
      </c>
      <c r="AJ41" s="351">
        <f t="shared" si="6"/>
        <v>0</v>
      </c>
      <c r="AK41" s="351">
        <f t="shared" si="6"/>
        <v>0</v>
      </c>
      <c r="AL41" s="351">
        <f t="shared" si="6"/>
        <v>0</v>
      </c>
      <c r="AM41" s="367">
        <f t="shared" si="6"/>
        <v>0</v>
      </c>
      <c r="AN41" s="367">
        <f t="shared" si="6"/>
        <v>0</v>
      </c>
    </row>
    <row r="42" spans="1:40" s="362" customFormat="1" x14ac:dyDescent="0.25">
      <c r="A42" s="14" t="s">
        <v>527</v>
      </c>
      <c r="B42" s="419" t="s">
        <v>736</v>
      </c>
      <c r="C42" s="390" t="s">
        <v>722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67"/>
      <c r="AF42" s="367"/>
      <c r="AG42" s="351"/>
      <c r="AH42" s="351">
        <f t="shared" ref="AH42:AH43" si="7">E42+L42+S42+Z42</f>
        <v>0</v>
      </c>
      <c r="AI42" s="351">
        <f t="shared" si="6"/>
        <v>0</v>
      </c>
      <c r="AJ42" s="351">
        <f t="shared" si="6"/>
        <v>0</v>
      </c>
      <c r="AK42" s="351">
        <f t="shared" si="6"/>
        <v>0</v>
      </c>
      <c r="AL42" s="351">
        <f t="shared" si="6"/>
        <v>0</v>
      </c>
      <c r="AM42" s="367">
        <f t="shared" si="6"/>
        <v>0</v>
      </c>
      <c r="AN42" s="367">
        <f t="shared" si="6"/>
        <v>0</v>
      </c>
    </row>
    <row r="43" spans="1:40" s="362" customFormat="1" x14ac:dyDescent="0.25">
      <c r="A43" s="14" t="s">
        <v>700</v>
      </c>
      <c r="B43" s="419" t="s">
        <v>737</v>
      </c>
      <c r="C43" s="390" t="s">
        <v>723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>
        <f>Ф4!CG43</f>
        <v>10.973329042945689</v>
      </c>
      <c r="AA43" s="351">
        <f>Ф4!CH43</f>
        <v>0</v>
      </c>
      <c r="AB43" s="351">
        <f>Ф4!CI43</f>
        <v>0</v>
      </c>
      <c r="AC43" s="351">
        <f>Ф4!CJ43</f>
        <v>0</v>
      </c>
      <c r="AD43" s="351">
        <f>Ф4!CK43</f>
        <v>0</v>
      </c>
      <c r="AE43" s="367">
        <f>Ф4!CL43</f>
        <v>0</v>
      </c>
      <c r="AF43" s="367">
        <f>Ф4!CM43</f>
        <v>0</v>
      </c>
      <c r="AG43" s="351"/>
      <c r="AH43" s="351">
        <f t="shared" si="7"/>
        <v>10.973329042945689</v>
      </c>
      <c r="AI43" s="351">
        <f t="shared" si="6"/>
        <v>0</v>
      </c>
      <c r="AJ43" s="351">
        <f t="shared" si="6"/>
        <v>0</v>
      </c>
      <c r="AK43" s="351">
        <f t="shared" si="6"/>
        <v>0</v>
      </c>
      <c r="AL43" s="351">
        <f t="shared" si="6"/>
        <v>0</v>
      </c>
      <c r="AM43" s="367">
        <f t="shared" si="6"/>
        <v>0</v>
      </c>
      <c r="AN43" s="367">
        <f t="shared" si="6"/>
        <v>0</v>
      </c>
    </row>
    <row r="44" spans="1:40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333"/>
      <c r="AF44" s="333"/>
      <c r="AG44" s="198"/>
      <c r="AH44" s="198"/>
      <c r="AI44" s="198"/>
      <c r="AJ44" s="198"/>
      <c r="AK44" s="198"/>
      <c r="AL44" s="198"/>
      <c r="AM44" s="333"/>
      <c r="AN44" s="333"/>
    </row>
    <row r="45" spans="1:40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0</v>
      </c>
      <c r="E45" s="195">
        <f t="shared" ref="E45:AN45" si="8">E46</f>
        <v>0</v>
      </c>
      <c r="F45" s="195">
        <f t="shared" si="8"/>
        <v>0</v>
      </c>
      <c r="G45" s="195">
        <f t="shared" si="8"/>
        <v>0</v>
      </c>
      <c r="H45" s="195">
        <f t="shared" si="8"/>
        <v>0</v>
      </c>
      <c r="I45" s="195">
        <f t="shared" si="8"/>
        <v>0</v>
      </c>
      <c r="J45" s="195">
        <f t="shared" si="8"/>
        <v>0</v>
      </c>
      <c r="K45" s="195">
        <f t="shared" si="8"/>
        <v>0</v>
      </c>
      <c r="L45" s="195">
        <f t="shared" si="8"/>
        <v>0</v>
      </c>
      <c r="M45" s="195">
        <f t="shared" si="8"/>
        <v>0</v>
      </c>
      <c r="N45" s="195">
        <f t="shared" si="8"/>
        <v>0</v>
      </c>
      <c r="O45" s="195">
        <f t="shared" si="8"/>
        <v>0</v>
      </c>
      <c r="P45" s="195">
        <f t="shared" si="8"/>
        <v>0</v>
      </c>
      <c r="Q45" s="195">
        <f t="shared" si="8"/>
        <v>0</v>
      </c>
      <c r="R45" s="195">
        <f t="shared" si="8"/>
        <v>0</v>
      </c>
      <c r="S45" s="195">
        <f t="shared" si="8"/>
        <v>0</v>
      </c>
      <c r="T45" s="195">
        <f t="shared" si="8"/>
        <v>0</v>
      </c>
      <c r="U45" s="195">
        <f t="shared" si="8"/>
        <v>0</v>
      </c>
      <c r="V45" s="195">
        <f t="shared" si="8"/>
        <v>0</v>
      </c>
      <c r="W45" s="195">
        <f t="shared" si="8"/>
        <v>0</v>
      </c>
      <c r="X45" s="195">
        <f t="shared" si="8"/>
        <v>0</v>
      </c>
      <c r="Y45" s="195">
        <f t="shared" si="8"/>
        <v>0</v>
      </c>
      <c r="Z45" s="195">
        <f t="shared" si="8"/>
        <v>0</v>
      </c>
      <c r="AA45" s="195">
        <f t="shared" si="8"/>
        <v>0</v>
      </c>
      <c r="AB45" s="195">
        <f t="shared" si="8"/>
        <v>0</v>
      </c>
      <c r="AC45" s="195">
        <f t="shared" si="8"/>
        <v>0</v>
      </c>
      <c r="AD45" s="195">
        <f t="shared" si="8"/>
        <v>0</v>
      </c>
      <c r="AE45" s="332">
        <f t="shared" si="8"/>
        <v>0</v>
      </c>
      <c r="AF45" s="332">
        <f t="shared" si="8"/>
        <v>0</v>
      </c>
      <c r="AG45" s="195">
        <f t="shared" si="8"/>
        <v>0</v>
      </c>
      <c r="AH45" s="195">
        <f t="shared" si="8"/>
        <v>0</v>
      </c>
      <c r="AI45" s="195">
        <f t="shared" si="8"/>
        <v>0</v>
      </c>
      <c r="AJ45" s="195">
        <f t="shared" si="8"/>
        <v>0</v>
      </c>
      <c r="AK45" s="195">
        <f t="shared" si="8"/>
        <v>0</v>
      </c>
      <c r="AL45" s="195">
        <f t="shared" si="8"/>
        <v>0</v>
      </c>
      <c r="AM45" s="332">
        <f t="shared" si="8"/>
        <v>0</v>
      </c>
      <c r="AN45" s="332">
        <f t="shared" si="8"/>
        <v>0</v>
      </c>
    </row>
    <row r="46" spans="1:40" s="200" customFormat="1" x14ac:dyDescent="0.25">
      <c r="A46" s="197" t="s">
        <v>74</v>
      </c>
      <c r="B46" s="11" t="s">
        <v>75</v>
      </c>
      <c r="C46" s="198">
        <v>0</v>
      </c>
      <c r="D46" s="198">
        <f>SUM(D47:D50)</f>
        <v>0</v>
      </c>
      <c r="E46" s="198">
        <f t="shared" ref="E46:AN46" si="9">SUM(E47:E50)</f>
        <v>0</v>
      </c>
      <c r="F46" s="198">
        <f t="shared" si="9"/>
        <v>0</v>
      </c>
      <c r="G46" s="198">
        <f t="shared" si="9"/>
        <v>0</v>
      </c>
      <c r="H46" s="198">
        <f t="shared" si="9"/>
        <v>0</v>
      </c>
      <c r="I46" s="198">
        <f t="shared" si="9"/>
        <v>0</v>
      </c>
      <c r="J46" s="198">
        <f t="shared" si="9"/>
        <v>0</v>
      </c>
      <c r="K46" s="198">
        <f t="shared" si="9"/>
        <v>0</v>
      </c>
      <c r="L46" s="198">
        <f t="shared" si="9"/>
        <v>0</v>
      </c>
      <c r="M46" s="198">
        <f t="shared" si="9"/>
        <v>0</v>
      </c>
      <c r="N46" s="198">
        <f t="shared" si="9"/>
        <v>0</v>
      </c>
      <c r="O46" s="198">
        <f t="shared" si="9"/>
        <v>0</v>
      </c>
      <c r="P46" s="198">
        <f t="shared" si="9"/>
        <v>0</v>
      </c>
      <c r="Q46" s="198">
        <f t="shared" si="9"/>
        <v>0</v>
      </c>
      <c r="R46" s="198">
        <f t="shared" si="9"/>
        <v>0</v>
      </c>
      <c r="S46" s="198">
        <f t="shared" si="9"/>
        <v>0</v>
      </c>
      <c r="T46" s="198">
        <f t="shared" si="9"/>
        <v>0</v>
      </c>
      <c r="U46" s="198">
        <f t="shared" si="9"/>
        <v>0</v>
      </c>
      <c r="V46" s="198">
        <f t="shared" si="9"/>
        <v>0</v>
      </c>
      <c r="W46" s="198">
        <f t="shared" si="9"/>
        <v>0</v>
      </c>
      <c r="X46" s="198">
        <f t="shared" si="9"/>
        <v>0</v>
      </c>
      <c r="Y46" s="198">
        <f t="shared" si="9"/>
        <v>0</v>
      </c>
      <c r="Z46" s="198">
        <f t="shared" si="9"/>
        <v>0</v>
      </c>
      <c r="AA46" s="198">
        <f t="shared" si="9"/>
        <v>0</v>
      </c>
      <c r="AB46" s="198">
        <f t="shared" si="9"/>
        <v>0</v>
      </c>
      <c r="AC46" s="198">
        <f t="shared" si="9"/>
        <v>0</v>
      </c>
      <c r="AD46" s="198">
        <f t="shared" si="9"/>
        <v>0</v>
      </c>
      <c r="AE46" s="333">
        <f t="shared" si="9"/>
        <v>0</v>
      </c>
      <c r="AF46" s="333">
        <f t="shared" si="9"/>
        <v>0</v>
      </c>
      <c r="AG46" s="198">
        <f t="shared" si="9"/>
        <v>0</v>
      </c>
      <c r="AH46" s="198">
        <f t="shared" si="9"/>
        <v>0</v>
      </c>
      <c r="AI46" s="198">
        <f t="shared" si="9"/>
        <v>0</v>
      </c>
      <c r="AJ46" s="198">
        <f t="shared" si="9"/>
        <v>0</v>
      </c>
      <c r="AK46" s="198">
        <f t="shared" si="9"/>
        <v>0</v>
      </c>
      <c r="AL46" s="198">
        <f t="shared" si="9"/>
        <v>0</v>
      </c>
      <c r="AM46" s="333">
        <f t="shared" si="9"/>
        <v>0</v>
      </c>
      <c r="AN46" s="333">
        <f t="shared" si="9"/>
        <v>0</v>
      </c>
    </row>
    <row r="47" spans="1:40" s="362" customFormat="1" ht="25.5" x14ac:dyDescent="0.25">
      <c r="A47" s="14" t="s">
        <v>76</v>
      </c>
      <c r="B47" s="417" t="s">
        <v>738</v>
      </c>
      <c r="C47" s="390" t="s">
        <v>724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67"/>
      <c r="AF47" s="367"/>
      <c r="AG47" s="351"/>
      <c r="AH47" s="351">
        <f>E47+L47+S47+Z47</f>
        <v>0</v>
      </c>
      <c r="AI47" s="351">
        <f>F47+M47+T47+AA47</f>
        <v>0</v>
      </c>
      <c r="AJ47" s="351">
        <f>G47+N47+U47+AB47</f>
        <v>0</v>
      </c>
      <c r="AK47" s="351">
        <f>H47+O47+V47+AC47</f>
        <v>0</v>
      </c>
      <c r="AL47" s="351">
        <f>I47+P47+W47+AD47</f>
        <v>0</v>
      </c>
      <c r="AM47" s="367">
        <f t="shared" ref="AM47:AN50" si="10">J47+Q47+X47+AE47</f>
        <v>0</v>
      </c>
      <c r="AN47" s="367">
        <f t="shared" si="10"/>
        <v>0</v>
      </c>
    </row>
    <row r="48" spans="1:40" s="362" customFormat="1" x14ac:dyDescent="0.25">
      <c r="A48" s="14" t="s">
        <v>659</v>
      </c>
      <c r="B48" s="417" t="s">
        <v>739</v>
      </c>
      <c r="C48" s="390" t="s">
        <v>725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0</v>
      </c>
      <c r="N48" s="351">
        <v>0</v>
      </c>
      <c r="O48" s="351">
        <v>0</v>
      </c>
      <c r="P48" s="351">
        <v>0</v>
      </c>
      <c r="Q48" s="351">
        <v>0</v>
      </c>
      <c r="R48" s="351">
        <v>0</v>
      </c>
      <c r="S48" s="351">
        <v>0</v>
      </c>
      <c r="T48" s="351">
        <v>0</v>
      </c>
      <c r="U48" s="351">
        <v>0</v>
      </c>
      <c r="V48" s="351">
        <v>0</v>
      </c>
      <c r="W48" s="351">
        <v>0</v>
      </c>
      <c r="X48" s="351">
        <v>0</v>
      </c>
      <c r="Y48" s="351">
        <v>0</v>
      </c>
      <c r="Z48" s="351">
        <v>0</v>
      </c>
      <c r="AA48" s="351">
        <v>0</v>
      </c>
      <c r="AB48" s="351">
        <v>0</v>
      </c>
      <c r="AC48" s="351">
        <v>0</v>
      </c>
      <c r="AD48" s="351">
        <v>0</v>
      </c>
      <c r="AE48" s="367"/>
      <c r="AF48" s="367">
        <v>0</v>
      </c>
      <c r="AG48" s="351">
        <f>D48+K48+R48+Y48</f>
        <v>0</v>
      </c>
      <c r="AH48" s="351">
        <f t="shared" ref="AH48:AH50" si="11">E48+L48+S48+Z48</f>
        <v>0</v>
      </c>
      <c r="AI48" s="351">
        <f t="shared" ref="AI48:AL50" si="12">F48+M48+T48+AA48</f>
        <v>0</v>
      </c>
      <c r="AJ48" s="351">
        <f t="shared" si="12"/>
        <v>0</v>
      </c>
      <c r="AK48" s="351">
        <f t="shared" si="12"/>
        <v>0</v>
      </c>
      <c r="AL48" s="351">
        <f t="shared" si="12"/>
        <v>0</v>
      </c>
      <c r="AM48" s="367">
        <f t="shared" si="10"/>
        <v>0</v>
      </c>
      <c r="AN48" s="367">
        <f t="shared" si="10"/>
        <v>0</v>
      </c>
    </row>
    <row r="49" spans="1:40" s="362" customFormat="1" x14ac:dyDescent="0.25">
      <c r="A49" s="14" t="s">
        <v>661</v>
      </c>
      <c r="B49" s="417" t="s">
        <v>740</v>
      </c>
      <c r="C49" s="390" t="s">
        <v>726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67"/>
      <c r="AF49" s="367"/>
      <c r="AG49" s="351"/>
      <c r="AH49" s="351">
        <f t="shared" si="11"/>
        <v>0</v>
      </c>
      <c r="AI49" s="351">
        <f t="shared" si="12"/>
        <v>0</v>
      </c>
      <c r="AJ49" s="351">
        <f t="shared" si="12"/>
        <v>0</v>
      </c>
      <c r="AK49" s="351">
        <f t="shared" si="12"/>
        <v>0</v>
      </c>
      <c r="AL49" s="351">
        <f t="shared" si="12"/>
        <v>0</v>
      </c>
      <c r="AM49" s="367">
        <f t="shared" si="10"/>
        <v>0</v>
      </c>
      <c r="AN49" s="367">
        <f t="shared" si="10"/>
        <v>0</v>
      </c>
    </row>
    <row r="50" spans="1:40" s="362" customFormat="1" ht="38.25" x14ac:dyDescent="0.25">
      <c r="A50" s="14" t="s">
        <v>662</v>
      </c>
      <c r="B50" s="417" t="s">
        <v>741</v>
      </c>
      <c r="C50" s="390" t="s">
        <v>727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67"/>
      <c r="AF50" s="367"/>
      <c r="AG50" s="351"/>
      <c r="AH50" s="351">
        <f t="shared" si="11"/>
        <v>0</v>
      </c>
      <c r="AI50" s="351">
        <f t="shared" si="12"/>
        <v>0</v>
      </c>
      <c r="AJ50" s="351">
        <f t="shared" si="12"/>
        <v>0</v>
      </c>
      <c r="AK50" s="351">
        <f t="shared" si="12"/>
        <v>0</v>
      </c>
      <c r="AL50" s="351">
        <f t="shared" si="12"/>
        <v>0</v>
      </c>
      <c r="AM50" s="367">
        <f t="shared" si="10"/>
        <v>0</v>
      </c>
      <c r="AN50" s="367">
        <f t="shared" si="10"/>
        <v>0</v>
      </c>
    </row>
    <row r="51" spans="1:40" s="200" customFormat="1" ht="31.5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333"/>
      <c r="AF51" s="333"/>
      <c r="AG51" s="198"/>
      <c r="AH51" s="198"/>
      <c r="AI51" s="198"/>
      <c r="AJ51" s="198"/>
      <c r="AK51" s="198"/>
      <c r="AL51" s="198"/>
      <c r="AM51" s="333"/>
      <c r="AN51" s="333"/>
    </row>
    <row r="52" spans="1:40" s="196" customFormat="1" ht="31.5" x14ac:dyDescent="0.25">
      <c r="A52" s="194" t="s">
        <v>116</v>
      </c>
      <c r="B52" s="65" t="s">
        <v>117</v>
      </c>
      <c r="C52" s="195">
        <v>0</v>
      </c>
      <c r="D52" s="195">
        <f>D53</f>
        <v>0</v>
      </c>
      <c r="E52" s="195">
        <f t="shared" ref="E52:AN52" si="13">E53</f>
        <v>0</v>
      </c>
      <c r="F52" s="195">
        <f t="shared" si="13"/>
        <v>0</v>
      </c>
      <c r="G52" s="195">
        <f t="shared" si="13"/>
        <v>0</v>
      </c>
      <c r="H52" s="195">
        <f t="shared" si="13"/>
        <v>0</v>
      </c>
      <c r="I52" s="195">
        <f t="shared" si="13"/>
        <v>0</v>
      </c>
      <c r="J52" s="195">
        <f t="shared" si="13"/>
        <v>0</v>
      </c>
      <c r="K52" s="195">
        <f t="shared" si="13"/>
        <v>0</v>
      </c>
      <c r="L52" s="195">
        <f t="shared" si="13"/>
        <v>0</v>
      </c>
      <c r="M52" s="195">
        <f t="shared" si="13"/>
        <v>0</v>
      </c>
      <c r="N52" s="195">
        <f t="shared" si="13"/>
        <v>0</v>
      </c>
      <c r="O52" s="195">
        <f t="shared" si="13"/>
        <v>0</v>
      </c>
      <c r="P52" s="195">
        <f t="shared" si="13"/>
        <v>0</v>
      </c>
      <c r="Q52" s="195">
        <f t="shared" si="13"/>
        <v>0</v>
      </c>
      <c r="R52" s="195">
        <f t="shared" si="13"/>
        <v>0</v>
      </c>
      <c r="S52" s="195">
        <f t="shared" si="13"/>
        <v>0</v>
      </c>
      <c r="T52" s="195">
        <f t="shared" si="13"/>
        <v>0</v>
      </c>
      <c r="U52" s="195">
        <f t="shared" si="13"/>
        <v>0</v>
      </c>
      <c r="V52" s="195">
        <f t="shared" si="13"/>
        <v>0</v>
      </c>
      <c r="W52" s="195">
        <f t="shared" si="13"/>
        <v>0</v>
      </c>
      <c r="X52" s="195">
        <f t="shared" si="13"/>
        <v>0</v>
      </c>
      <c r="Y52" s="195">
        <f t="shared" si="13"/>
        <v>0</v>
      </c>
      <c r="Z52" s="195">
        <f t="shared" si="13"/>
        <v>5.1488657564512703</v>
      </c>
      <c r="AA52" s="195">
        <f t="shared" si="13"/>
        <v>0</v>
      </c>
      <c r="AB52" s="195">
        <f t="shared" si="13"/>
        <v>0</v>
      </c>
      <c r="AC52" s="195">
        <f t="shared" si="13"/>
        <v>0</v>
      </c>
      <c r="AD52" s="195">
        <f t="shared" si="13"/>
        <v>0</v>
      </c>
      <c r="AE52" s="332">
        <f t="shared" si="13"/>
        <v>213</v>
      </c>
      <c r="AF52" s="332">
        <f t="shared" si="13"/>
        <v>0</v>
      </c>
      <c r="AG52" s="195">
        <f t="shared" si="13"/>
        <v>0</v>
      </c>
      <c r="AH52" s="195">
        <f t="shared" si="13"/>
        <v>5.1488657564512703</v>
      </c>
      <c r="AI52" s="195">
        <f t="shared" si="13"/>
        <v>0</v>
      </c>
      <c r="AJ52" s="195">
        <f t="shared" si="13"/>
        <v>0</v>
      </c>
      <c r="AK52" s="195">
        <f t="shared" si="13"/>
        <v>0</v>
      </c>
      <c r="AL52" s="195">
        <f t="shared" si="13"/>
        <v>0</v>
      </c>
      <c r="AM52" s="332">
        <f t="shared" si="13"/>
        <v>213</v>
      </c>
      <c r="AN52" s="332">
        <f t="shared" si="13"/>
        <v>0</v>
      </c>
    </row>
    <row r="53" spans="1:40" s="200" customFormat="1" ht="31.5" outlineLevel="1" x14ac:dyDescent="0.25">
      <c r="A53" s="197" t="s">
        <v>118</v>
      </c>
      <c r="B53" s="11" t="s">
        <v>119</v>
      </c>
      <c r="C53" s="198"/>
      <c r="D53" s="198">
        <f>SUM(D54:D58)</f>
        <v>0</v>
      </c>
      <c r="E53" s="198">
        <f t="shared" ref="E53:AN53" si="14">SUM(E54:E58)</f>
        <v>0</v>
      </c>
      <c r="F53" s="198">
        <f t="shared" si="14"/>
        <v>0</v>
      </c>
      <c r="G53" s="198">
        <f t="shared" si="14"/>
        <v>0</v>
      </c>
      <c r="H53" s="198">
        <f t="shared" si="14"/>
        <v>0</v>
      </c>
      <c r="I53" s="198">
        <f t="shared" si="14"/>
        <v>0</v>
      </c>
      <c r="J53" s="198">
        <f t="shared" si="14"/>
        <v>0</v>
      </c>
      <c r="K53" s="198">
        <f t="shared" si="14"/>
        <v>0</v>
      </c>
      <c r="L53" s="198">
        <f t="shared" si="14"/>
        <v>0</v>
      </c>
      <c r="M53" s="198">
        <f t="shared" si="14"/>
        <v>0</v>
      </c>
      <c r="N53" s="198">
        <f t="shared" si="14"/>
        <v>0</v>
      </c>
      <c r="O53" s="198">
        <f t="shared" si="14"/>
        <v>0</v>
      </c>
      <c r="P53" s="198">
        <f t="shared" si="14"/>
        <v>0</v>
      </c>
      <c r="Q53" s="198">
        <f t="shared" si="14"/>
        <v>0</v>
      </c>
      <c r="R53" s="198">
        <f t="shared" si="14"/>
        <v>0</v>
      </c>
      <c r="S53" s="198">
        <f t="shared" si="14"/>
        <v>0</v>
      </c>
      <c r="T53" s="198">
        <f t="shared" si="14"/>
        <v>0</v>
      </c>
      <c r="U53" s="198">
        <f t="shared" si="14"/>
        <v>0</v>
      </c>
      <c r="V53" s="198">
        <f t="shared" si="14"/>
        <v>0</v>
      </c>
      <c r="W53" s="198">
        <f t="shared" si="14"/>
        <v>0</v>
      </c>
      <c r="X53" s="198">
        <f t="shared" si="14"/>
        <v>0</v>
      </c>
      <c r="Y53" s="198">
        <f t="shared" si="14"/>
        <v>0</v>
      </c>
      <c r="Z53" s="198">
        <f t="shared" si="14"/>
        <v>5.1488657564512703</v>
      </c>
      <c r="AA53" s="198">
        <f t="shared" si="14"/>
        <v>0</v>
      </c>
      <c r="AB53" s="198">
        <f t="shared" si="14"/>
        <v>0</v>
      </c>
      <c r="AC53" s="198">
        <f t="shared" si="14"/>
        <v>0</v>
      </c>
      <c r="AD53" s="198">
        <f t="shared" si="14"/>
        <v>0</v>
      </c>
      <c r="AE53" s="333">
        <f t="shared" si="14"/>
        <v>213</v>
      </c>
      <c r="AF53" s="333">
        <f t="shared" si="14"/>
        <v>0</v>
      </c>
      <c r="AG53" s="198">
        <f t="shared" si="14"/>
        <v>0</v>
      </c>
      <c r="AH53" s="198">
        <f t="shared" si="14"/>
        <v>5.1488657564512703</v>
      </c>
      <c r="AI53" s="198">
        <f t="shared" si="14"/>
        <v>0</v>
      </c>
      <c r="AJ53" s="198">
        <f t="shared" si="14"/>
        <v>0</v>
      </c>
      <c r="AK53" s="198">
        <f t="shared" si="14"/>
        <v>0</v>
      </c>
      <c r="AL53" s="198">
        <f t="shared" si="14"/>
        <v>0</v>
      </c>
      <c r="AM53" s="333">
        <f t="shared" si="14"/>
        <v>213</v>
      </c>
      <c r="AN53" s="333">
        <f t="shared" si="14"/>
        <v>0</v>
      </c>
    </row>
    <row r="54" spans="1:40" s="200" customFormat="1" outlineLevel="1" x14ac:dyDescent="0.25">
      <c r="A54" s="14" t="s">
        <v>701</v>
      </c>
      <c r="B54" s="421" t="s">
        <v>706</v>
      </c>
      <c r="C54" s="390" t="s">
        <v>728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333"/>
      <c r="AF54" s="333"/>
      <c r="AG54" s="198"/>
      <c r="AH54" s="351">
        <f t="shared" ref="AH54:AK58" si="15">E54+L54+S54+Z54</f>
        <v>0</v>
      </c>
      <c r="AI54" s="351">
        <f t="shared" si="15"/>
        <v>0</v>
      </c>
      <c r="AJ54" s="351">
        <f t="shared" si="15"/>
        <v>0</v>
      </c>
      <c r="AK54" s="351">
        <f t="shared" si="15"/>
        <v>0</v>
      </c>
      <c r="AL54" s="351">
        <f t="shared" ref="AL54:AN58" si="16">I54+P54+W54+AD54</f>
        <v>0</v>
      </c>
      <c r="AM54" s="367">
        <f t="shared" si="16"/>
        <v>0</v>
      </c>
      <c r="AN54" s="367">
        <f t="shared" si="16"/>
        <v>0</v>
      </c>
    </row>
    <row r="55" spans="1:40" s="200" customFormat="1" outlineLevel="1" x14ac:dyDescent="0.25">
      <c r="A55" s="14" t="s">
        <v>702</v>
      </c>
      <c r="B55" s="421" t="s">
        <v>706</v>
      </c>
      <c r="C55" s="390" t="s">
        <v>729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333"/>
      <c r="AF55" s="333"/>
      <c r="AG55" s="198"/>
      <c r="AH55" s="351">
        <f t="shared" si="15"/>
        <v>0</v>
      </c>
      <c r="AI55" s="351">
        <f t="shared" si="15"/>
        <v>0</v>
      </c>
      <c r="AJ55" s="351">
        <f t="shared" si="15"/>
        <v>0</v>
      </c>
      <c r="AK55" s="351">
        <f t="shared" si="15"/>
        <v>0</v>
      </c>
      <c r="AL55" s="351">
        <f t="shared" si="16"/>
        <v>0</v>
      </c>
      <c r="AM55" s="367">
        <f t="shared" si="16"/>
        <v>0</v>
      </c>
      <c r="AN55" s="367">
        <f t="shared" si="16"/>
        <v>0</v>
      </c>
    </row>
    <row r="56" spans="1:40" s="200" customFormat="1" outlineLevel="1" x14ac:dyDescent="0.25">
      <c r="A56" s="14" t="s">
        <v>703</v>
      </c>
      <c r="B56" s="421" t="s">
        <v>706</v>
      </c>
      <c r="C56" s="390" t="s">
        <v>730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333"/>
      <c r="AF56" s="333"/>
      <c r="AG56" s="198"/>
      <c r="AH56" s="351">
        <f t="shared" si="15"/>
        <v>0</v>
      </c>
      <c r="AI56" s="351">
        <f t="shared" si="15"/>
        <v>0</v>
      </c>
      <c r="AJ56" s="351">
        <f t="shared" si="15"/>
        <v>0</v>
      </c>
      <c r="AK56" s="351">
        <f t="shared" si="15"/>
        <v>0</v>
      </c>
      <c r="AL56" s="351">
        <f t="shared" si="16"/>
        <v>0</v>
      </c>
      <c r="AM56" s="367">
        <f t="shared" si="16"/>
        <v>0</v>
      </c>
      <c r="AN56" s="367">
        <f t="shared" si="16"/>
        <v>0</v>
      </c>
    </row>
    <row r="57" spans="1:40" s="200" customFormat="1" outlineLevel="1" x14ac:dyDescent="0.25">
      <c r="A57" s="14" t="s">
        <v>704</v>
      </c>
      <c r="B57" s="421" t="s">
        <v>706</v>
      </c>
      <c r="C57" s="390" t="s">
        <v>731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333"/>
      <c r="AF57" s="333"/>
      <c r="AG57" s="198"/>
      <c r="AH57" s="351">
        <f t="shared" si="15"/>
        <v>0</v>
      </c>
      <c r="AI57" s="351">
        <f t="shared" si="15"/>
        <v>0</v>
      </c>
      <c r="AJ57" s="351">
        <f t="shared" si="15"/>
        <v>0</v>
      </c>
      <c r="AK57" s="351">
        <f t="shared" si="15"/>
        <v>0</v>
      </c>
      <c r="AL57" s="351">
        <f t="shared" si="16"/>
        <v>0</v>
      </c>
      <c r="AM57" s="367">
        <f t="shared" si="16"/>
        <v>0</v>
      </c>
      <c r="AN57" s="367">
        <f t="shared" si="16"/>
        <v>0</v>
      </c>
    </row>
    <row r="58" spans="1:40" s="200" customFormat="1" outlineLevel="1" x14ac:dyDescent="0.25">
      <c r="A58" s="14" t="s">
        <v>705</v>
      </c>
      <c r="B58" s="421" t="s">
        <v>706</v>
      </c>
      <c r="C58" s="390" t="s">
        <v>732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>
        <f>Ф4!CG58</f>
        <v>5.1488657564512703</v>
      </c>
      <c r="AA58" s="198">
        <f>Ф4!CH58</f>
        <v>0</v>
      </c>
      <c r="AB58" s="198">
        <f>Ф4!CI58</f>
        <v>0</v>
      </c>
      <c r="AC58" s="198">
        <f>Ф4!CJ58</f>
        <v>0</v>
      </c>
      <c r="AD58" s="198">
        <f>Ф4!CK58</f>
        <v>0</v>
      </c>
      <c r="AE58" s="333">
        <f>Ф4!CL58</f>
        <v>213</v>
      </c>
      <c r="AF58" s="333">
        <f>Ф4!CM58</f>
        <v>0</v>
      </c>
      <c r="AG58" s="198"/>
      <c r="AH58" s="351">
        <f t="shared" si="15"/>
        <v>5.1488657564512703</v>
      </c>
      <c r="AI58" s="351">
        <f t="shared" si="15"/>
        <v>0</v>
      </c>
      <c r="AJ58" s="351">
        <f t="shared" si="15"/>
        <v>0</v>
      </c>
      <c r="AK58" s="351">
        <f t="shared" si="15"/>
        <v>0</v>
      </c>
      <c r="AL58" s="351">
        <f t="shared" si="16"/>
        <v>0</v>
      </c>
      <c r="AM58" s="367">
        <f t="shared" si="16"/>
        <v>213</v>
      </c>
      <c r="AN58" s="367">
        <f t="shared" si="16"/>
        <v>0</v>
      </c>
    </row>
    <row r="59" spans="1:40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333"/>
      <c r="AF59" s="333"/>
      <c r="AG59" s="198"/>
      <c r="AH59" s="198"/>
      <c r="AI59" s="198"/>
      <c r="AJ59" s="198"/>
      <c r="AK59" s="198"/>
      <c r="AL59" s="198"/>
      <c r="AM59" s="333"/>
      <c r="AN59" s="333"/>
    </row>
    <row r="60" spans="1:40" s="200" customFormat="1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333"/>
      <c r="AF60" s="333"/>
      <c r="AG60" s="198"/>
      <c r="AH60" s="198"/>
      <c r="AI60" s="198"/>
      <c r="AJ60" s="198"/>
      <c r="AK60" s="198"/>
      <c r="AL60" s="198"/>
      <c r="AM60" s="333"/>
      <c r="AN60" s="333"/>
    </row>
    <row r="61" spans="1:40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333"/>
      <c r="AF61" s="333"/>
      <c r="AG61" s="198"/>
      <c r="AH61" s="198"/>
      <c r="AI61" s="198"/>
      <c r="AJ61" s="198"/>
      <c r="AK61" s="198"/>
      <c r="AL61" s="198"/>
      <c r="AM61" s="333"/>
      <c r="AN61" s="333"/>
    </row>
    <row r="62" spans="1:40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AN62" si="17">E63</f>
        <v>0</v>
      </c>
      <c r="F62" s="198">
        <f t="shared" si="17"/>
        <v>0</v>
      </c>
      <c r="G62" s="198">
        <f t="shared" si="17"/>
        <v>0</v>
      </c>
      <c r="H62" s="198">
        <f t="shared" si="17"/>
        <v>0</v>
      </c>
      <c r="I62" s="198">
        <f t="shared" si="17"/>
        <v>0</v>
      </c>
      <c r="J62" s="198">
        <f t="shared" si="17"/>
        <v>0</v>
      </c>
      <c r="K62" s="198">
        <f t="shared" si="17"/>
        <v>0</v>
      </c>
      <c r="L62" s="198">
        <f t="shared" si="17"/>
        <v>0</v>
      </c>
      <c r="M62" s="198">
        <f t="shared" si="17"/>
        <v>0</v>
      </c>
      <c r="N62" s="198">
        <f t="shared" si="17"/>
        <v>0</v>
      </c>
      <c r="O62" s="198">
        <f t="shared" si="17"/>
        <v>0</v>
      </c>
      <c r="P62" s="198">
        <f t="shared" si="17"/>
        <v>0</v>
      </c>
      <c r="Q62" s="198">
        <f t="shared" si="17"/>
        <v>0</v>
      </c>
      <c r="R62" s="198">
        <f t="shared" si="17"/>
        <v>0</v>
      </c>
      <c r="S62" s="198">
        <f t="shared" si="17"/>
        <v>0</v>
      </c>
      <c r="T62" s="198">
        <f t="shared" si="17"/>
        <v>0</v>
      </c>
      <c r="U62" s="198">
        <f t="shared" si="17"/>
        <v>0</v>
      </c>
      <c r="V62" s="198">
        <f t="shared" si="17"/>
        <v>0</v>
      </c>
      <c r="W62" s="198">
        <f t="shared" si="17"/>
        <v>0</v>
      </c>
      <c r="X62" s="198">
        <f t="shared" si="17"/>
        <v>0</v>
      </c>
      <c r="Y62" s="198">
        <f t="shared" si="17"/>
        <v>0</v>
      </c>
      <c r="Z62" s="198">
        <f t="shared" si="17"/>
        <v>0</v>
      </c>
      <c r="AA62" s="198">
        <f t="shared" si="17"/>
        <v>0</v>
      </c>
      <c r="AB62" s="198">
        <f t="shared" si="17"/>
        <v>0</v>
      </c>
      <c r="AC62" s="198">
        <f t="shared" si="17"/>
        <v>0</v>
      </c>
      <c r="AD62" s="198">
        <f t="shared" si="17"/>
        <v>0</v>
      </c>
      <c r="AE62" s="333"/>
      <c r="AF62" s="333">
        <f t="shared" si="17"/>
        <v>0</v>
      </c>
      <c r="AG62" s="198">
        <f t="shared" si="17"/>
        <v>0</v>
      </c>
      <c r="AH62" s="198">
        <f t="shared" si="17"/>
        <v>0</v>
      </c>
      <c r="AI62" s="198">
        <f t="shared" si="17"/>
        <v>0</v>
      </c>
      <c r="AJ62" s="198">
        <f t="shared" si="17"/>
        <v>0</v>
      </c>
      <c r="AK62" s="198">
        <f t="shared" si="17"/>
        <v>0</v>
      </c>
      <c r="AL62" s="198">
        <f t="shared" si="17"/>
        <v>0</v>
      </c>
      <c r="AM62" s="333"/>
      <c r="AN62" s="333">
        <f t="shared" si="17"/>
        <v>0</v>
      </c>
    </row>
    <row r="63" spans="1:40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67"/>
      <c r="AF63" s="367"/>
      <c r="AG63" s="351"/>
      <c r="AH63" s="351"/>
      <c r="AI63" s="351"/>
      <c r="AJ63" s="351"/>
      <c r="AK63" s="351"/>
      <c r="AL63" s="351"/>
      <c r="AM63" s="367"/>
      <c r="AN63" s="367"/>
    </row>
    <row r="64" spans="1:40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482"/>
      <c r="AF64" s="482"/>
      <c r="AG64" s="206"/>
      <c r="AH64" s="206"/>
      <c r="AI64" s="206"/>
      <c r="AJ64" s="206"/>
      <c r="AK64" s="206"/>
      <c r="AL64" s="206"/>
      <c r="AM64" s="476"/>
      <c r="AN64" s="477"/>
    </row>
    <row r="65" spans="1:40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  <c r="AE65" s="478"/>
      <c r="AF65" s="478"/>
      <c r="AM65" s="478"/>
      <c r="AN65" s="478"/>
    </row>
    <row r="66" spans="1:40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AE66" s="478"/>
      <c r="AF66" s="478"/>
      <c r="AM66" s="478"/>
      <c r="AN66" s="478"/>
    </row>
    <row r="67" spans="1:40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  <c r="AE67" s="479"/>
      <c r="AF67" s="479"/>
      <c r="AM67" s="479"/>
      <c r="AN67" s="479"/>
    </row>
    <row r="68" spans="1:40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  <c r="AE68" s="478"/>
      <c r="AF68" s="478"/>
      <c r="AM68" s="478"/>
      <c r="AN68" s="478"/>
    </row>
    <row r="69" spans="1:40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  <c r="AE69" s="478"/>
      <c r="AF69" s="478"/>
      <c r="AM69" s="478"/>
      <c r="AN69" s="478"/>
    </row>
    <row r="70" spans="1:40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  <c r="AE70" s="480"/>
      <c r="AF70" s="480"/>
      <c r="AM70" s="480"/>
      <c r="AN70" s="480"/>
    </row>
    <row r="71" spans="1:40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  <c r="AE71" s="479"/>
      <c r="AF71" s="479"/>
      <c r="AM71" s="479"/>
      <c r="AN71" s="479"/>
    </row>
    <row r="72" spans="1:40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  <c r="AE72" s="479"/>
      <c r="AF72" s="479"/>
      <c r="AM72" s="479"/>
      <c r="AN72" s="479"/>
    </row>
    <row r="73" spans="1:40" s="310" customFormat="1" collapsed="1" x14ac:dyDescent="0.25">
      <c r="A73" s="20" t="s">
        <v>528</v>
      </c>
      <c r="B73" s="265" t="s">
        <v>529</v>
      </c>
      <c r="C73" s="307"/>
      <c r="D73" s="461">
        <f>SUM(D74:D75)</f>
        <v>0</v>
      </c>
      <c r="E73" s="461">
        <f t="shared" ref="E73:AN73" si="18">SUM(E74:E75)</f>
        <v>0</v>
      </c>
      <c r="F73" s="461">
        <f t="shared" si="18"/>
        <v>0</v>
      </c>
      <c r="G73" s="461">
        <f t="shared" si="18"/>
        <v>0</v>
      </c>
      <c r="H73" s="461">
        <f t="shared" si="18"/>
        <v>0</v>
      </c>
      <c r="I73" s="461">
        <f t="shared" si="18"/>
        <v>0</v>
      </c>
      <c r="J73" s="461">
        <f t="shared" si="18"/>
        <v>0</v>
      </c>
      <c r="K73" s="461">
        <f t="shared" si="18"/>
        <v>0</v>
      </c>
      <c r="L73" s="461">
        <f t="shared" si="18"/>
        <v>0</v>
      </c>
      <c r="M73" s="461">
        <f t="shared" si="18"/>
        <v>0</v>
      </c>
      <c r="N73" s="461">
        <f t="shared" si="18"/>
        <v>0</v>
      </c>
      <c r="O73" s="461">
        <f t="shared" si="18"/>
        <v>0</v>
      </c>
      <c r="P73" s="461">
        <f t="shared" si="18"/>
        <v>0</v>
      </c>
      <c r="Q73" s="461">
        <f t="shared" si="18"/>
        <v>0</v>
      </c>
      <c r="R73" s="461">
        <f t="shared" si="18"/>
        <v>0</v>
      </c>
      <c r="S73" s="461">
        <f t="shared" si="18"/>
        <v>0</v>
      </c>
      <c r="T73" s="461">
        <f t="shared" si="18"/>
        <v>0</v>
      </c>
      <c r="U73" s="461">
        <f t="shared" si="18"/>
        <v>0</v>
      </c>
      <c r="V73" s="461">
        <f t="shared" si="18"/>
        <v>0</v>
      </c>
      <c r="W73" s="461">
        <f t="shared" si="18"/>
        <v>0</v>
      </c>
      <c r="X73" s="461">
        <f t="shared" si="18"/>
        <v>0</v>
      </c>
      <c r="Y73" s="461">
        <f t="shared" si="18"/>
        <v>0</v>
      </c>
      <c r="Z73" s="461">
        <f t="shared" si="18"/>
        <v>0</v>
      </c>
      <c r="AA73" s="461">
        <f t="shared" si="18"/>
        <v>0</v>
      </c>
      <c r="AB73" s="461">
        <f t="shared" si="18"/>
        <v>0</v>
      </c>
      <c r="AC73" s="461">
        <f t="shared" si="18"/>
        <v>0</v>
      </c>
      <c r="AD73" s="461">
        <f t="shared" si="18"/>
        <v>0</v>
      </c>
      <c r="AE73" s="461">
        <f t="shared" si="18"/>
        <v>0</v>
      </c>
      <c r="AF73" s="461">
        <f t="shared" si="18"/>
        <v>0</v>
      </c>
      <c r="AG73" s="461">
        <f t="shared" si="18"/>
        <v>0</v>
      </c>
      <c r="AH73" s="461">
        <f t="shared" si="18"/>
        <v>0</v>
      </c>
      <c r="AI73" s="461">
        <f t="shared" si="18"/>
        <v>0</v>
      </c>
      <c r="AJ73" s="461">
        <f t="shared" si="18"/>
        <v>0</v>
      </c>
      <c r="AK73" s="461">
        <f t="shared" si="18"/>
        <v>0</v>
      </c>
      <c r="AL73" s="461">
        <f t="shared" si="18"/>
        <v>0</v>
      </c>
      <c r="AM73" s="461">
        <f t="shared" si="18"/>
        <v>0</v>
      </c>
      <c r="AN73" s="461">
        <f t="shared" si="18"/>
        <v>0</v>
      </c>
    </row>
    <row r="74" spans="1:40" s="345" customFormat="1" x14ac:dyDescent="0.25">
      <c r="A74" s="341" t="s">
        <v>530</v>
      </c>
      <c r="B74" s="419" t="s">
        <v>708</v>
      </c>
      <c r="C74" s="390" t="s">
        <v>733</v>
      </c>
      <c r="D74" s="358"/>
      <c r="E74" s="369"/>
      <c r="F74" s="369"/>
      <c r="G74" s="358"/>
      <c r="H74" s="358"/>
      <c r="I74" s="358"/>
      <c r="J74" s="363"/>
      <c r="K74" s="358"/>
      <c r="L74" s="358"/>
      <c r="M74" s="363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483"/>
      <c r="AF74" s="483"/>
      <c r="AG74" s="358"/>
      <c r="AH74" s="351">
        <f t="shared" ref="AH74:AL75" si="19">E74+L74+S74+Z74</f>
        <v>0</v>
      </c>
      <c r="AI74" s="351">
        <f t="shared" si="19"/>
        <v>0</v>
      </c>
      <c r="AJ74" s="351">
        <f t="shared" si="19"/>
        <v>0</v>
      </c>
      <c r="AK74" s="351">
        <f t="shared" si="19"/>
        <v>0</v>
      </c>
      <c r="AL74" s="351">
        <f t="shared" si="19"/>
        <v>0</v>
      </c>
      <c r="AM74" s="367">
        <f t="shared" ref="AM74:AN75" si="20">J74+Q74+X74+AE74</f>
        <v>0</v>
      </c>
      <c r="AN74" s="367">
        <f t="shared" si="20"/>
        <v>0</v>
      </c>
    </row>
    <row r="75" spans="1:40" s="345" customFormat="1" x14ac:dyDescent="0.25">
      <c r="A75" s="341" t="s">
        <v>707</v>
      </c>
      <c r="B75" s="419" t="s">
        <v>709</v>
      </c>
      <c r="C75" s="390" t="s">
        <v>734</v>
      </c>
      <c r="D75" s="358"/>
      <c r="E75" s="369"/>
      <c r="F75" s="369"/>
      <c r="G75" s="358"/>
      <c r="H75" s="358"/>
      <c r="I75" s="358"/>
      <c r="J75" s="363"/>
      <c r="K75" s="358"/>
      <c r="L75" s="358"/>
      <c r="M75" s="363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483"/>
      <c r="AF75" s="483"/>
      <c r="AG75" s="358"/>
      <c r="AH75" s="351">
        <f t="shared" si="19"/>
        <v>0</v>
      </c>
      <c r="AI75" s="351">
        <f t="shared" si="19"/>
        <v>0</v>
      </c>
      <c r="AJ75" s="351">
        <f t="shared" si="19"/>
        <v>0</v>
      </c>
      <c r="AK75" s="351">
        <f t="shared" si="19"/>
        <v>0</v>
      </c>
      <c r="AL75" s="351">
        <f t="shared" si="19"/>
        <v>0</v>
      </c>
      <c r="AM75" s="367">
        <f t="shared" si="20"/>
        <v>0</v>
      </c>
      <c r="AN75" s="367">
        <f t="shared" si="20"/>
        <v>0</v>
      </c>
    </row>
    <row r="78" spans="1:40" ht="18.75" x14ac:dyDescent="0.25">
      <c r="B78" s="278" t="s">
        <v>77</v>
      </c>
      <c r="C78" s="279"/>
      <c r="D78" s="279"/>
      <c r="E78" s="279" t="s">
        <v>668</v>
      </c>
    </row>
    <row r="79" spans="1:40" ht="18.75" x14ac:dyDescent="0.25">
      <c r="B79" s="278"/>
      <c r="C79" s="279"/>
      <c r="D79" s="279"/>
      <c r="E79" s="279"/>
    </row>
    <row r="80" spans="1:40" ht="18.75" x14ac:dyDescent="0.25">
      <c r="B80" s="278"/>
      <c r="C80" s="279"/>
      <c r="D80" s="279"/>
      <c r="E80" s="279"/>
    </row>
    <row r="83" spans="1:34" s="41" customFormat="1" x14ac:dyDescent="0.25">
      <c r="A83" s="613" t="s">
        <v>207</v>
      </c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136"/>
      <c r="R83" s="426"/>
      <c r="S83" s="426"/>
      <c r="T83" s="426"/>
      <c r="U83" s="426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</row>
    <row r="84" spans="1:34" s="41" customFormat="1" x14ac:dyDescent="0.25">
      <c r="A84" s="614" t="s">
        <v>208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425"/>
      <c r="S84" s="425"/>
      <c r="T84" s="425"/>
      <c r="U84" s="425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</row>
    <row r="85" spans="1:34" s="41" customFormat="1" x14ac:dyDescent="0.25">
      <c r="A85" s="614" t="s">
        <v>209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139"/>
      <c r="R85" s="425"/>
      <c r="S85" s="425"/>
      <c r="T85" s="425"/>
      <c r="U85" s="425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</row>
    <row r="86" spans="1:34" s="41" customFormat="1" x14ac:dyDescent="0.25">
      <c r="A86" s="614" t="s">
        <v>210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139"/>
      <c r="R86" s="425"/>
      <c r="S86" s="425"/>
      <c r="T86" s="425"/>
      <c r="U86" s="425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</row>
  </sheetData>
  <mergeCells count="26">
    <mergeCell ref="A83:P83"/>
    <mergeCell ref="A84:P84"/>
    <mergeCell ref="A85:P85"/>
    <mergeCell ref="A86:P86"/>
    <mergeCell ref="AG13:AN13"/>
    <mergeCell ref="E14:J14"/>
    <mergeCell ref="L14:Q14"/>
    <mergeCell ref="S14:X14"/>
    <mergeCell ref="Z14:AF14"/>
    <mergeCell ref="AH14:AN14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9:AN9"/>
    <mergeCell ref="A1:AN1"/>
    <mergeCell ref="A2:AN2"/>
    <mergeCell ref="A4:AN4"/>
    <mergeCell ref="A5:AN5"/>
    <mergeCell ref="A7:AN7"/>
  </mergeCells>
  <pageMargins left="0.7" right="0.7" top="0.75" bottom="0.75" header="0.3" footer="0.3"/>
  <pageSetup paperSize="8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H89"/>
  <sheetViews>
    <sheetView topLeftCell="A10" zoomScale="70" zoomScaleNormal="70" workbookViewId="0">
      <selection activeCell="A74" sqref="A74:C75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customWidth="1"/>
    <col min="4" max="4" width="7.28515625" hidden="1" customWidth="1" outlineLevel="1"/>
    <col min="5" max="6" width="6.28515625" style="50" hidden="1" customWidth="1" outlineLevel="1"/>
    <col min="7" max="9" width="6.28515625" hidden="1" customWidth="1" outlineLevel="1"/>
    <col min="10" max="10" width="7.28515625" style="55" hidden="1" customWidth="1" outlineLevel="1"/>
    <col min="11" max="12" width="6.28515625" hidden="1" customWidth="1" outlineLevel="1"/>
    <col min="13" max="13" width="6.28515625" style="55" hidden="1" customWidth="1" outlineLevel="1"/>
    <col min="14" max="15" width="6.28515625" hidden="1" customWidth="1" outlineLevel="1"/>
    <col min="16" max="16" width="7.28515625" customWidth="1" collapsed="1"/>
    <col min="17" max="18" width="6.28515625" customWidth="1"/>
    <col min="19" max="19" width="8.42578125" customWidth="1"/>
    <col min="20" max="20" width="10.42578125" customWidth="1"/>
    <col min="21" max="22" width="6.28515625" customWidth="1"/>
    <col min="23" max="23" width="8.42578125" bestFit="1" customWidth="1"/>
    <col min="24" max="25" width="6.28515625" bestFit="1" customWidth="1"/>
    <col min="26" max="26" width="8.7109375" bestFit="1" customWidth="1"/>
    <col min="27" max="27" width="6.28515625" bestFit="1" customWidth="1"/>
    <col min="28" max="28" width="6.28515625" customWidth="1"/>
    <col min="29" max="29" width="6.28515625" bestFit="1" customWidth="1"/>
    <col min="30" max="30" width="7.28515625" bestFit="1" customWidth="1"/>
    <col min="31" max="31" width="8.42578125" bestFit="1" customWidth="1"/>
    <col min="32" max="32" width="6.28515625" bestFit="1" customWidth="1"/>
    <col min="33" max="33" width="8.7109375" customWidth="1"/>
    <col min="34" max="34" width="9.140625" customWidth="1"/>
    <col min="35" max="35" width="6.28515625" customWidth="1"/>
    <col min="36" max="36" width="8.42578125" bestFit="1" customWidth="1"/>
    <col min="37" max="37" width="7.28515625" bestFit="1" customWidth="1"/>
    <col min="38" max="40" width="8.42578125" bestFit="1" customWidth="1"/>
    <col min="41" max="41" width="6.28515625" bestFit="1" customWidth="1"/>
    <col min="42" max="42" width="6.28515625" customWidth="1"/>
    <col min="43" max="43" width="8.42578125" bestFit="1" customWidth="1"/>
    <col min="44" max="44" width="7.28515625" bestFit="1" customWidth="1"/>
    <col min="45" max="46" width="6.28515625" bestFit="1" customWidth="1"/>
    <col min="47" max="47" width="8.42578125" bestFit="1" customWidth="1"/>
    <col min="48" max="48" width="6.28515625" bestFit="1" customWidth="1"/>
    <col min="49" max="49" width="6.28515625" customWidth="1"/>
    <col min="50" max="50" width="6.28515625" bestFit="1" customWidth="1"/>
    <col min="51" max="51" width="7.28515625" bestFit="1" customWidth="1"/>
    <col min="52" max="52" width="8.5703125" bestFit="1" customWidth="1"/>
    <col min="53" max="53" width="6.28515625" bestFit="1" customWidth="1"/>
    <col min="54" max="54" width="8.42578125" bestFit="1" customWidth="1"/>
    <col min="55" max="55" width="6.28515625" bestFit="1" customWidth="1"/>
    <col min="56" max="56" width="6.28515625" customWidth="1"/>
    <col min="57" max="57" width="6.28515625" bestFit="1" customWidth="1"/>
    <col min="58" max="58" width="7.28515625" bestFit="1" customWidth="1"/>
    <col min="59" max="60" width="6.28515625" bestFit="1" customWidth="1"/>
    <col min="61" max="61" width="8.42578125" bestFit="1" customWidth="1"/>
    <col min="62" max="62" width="8.28515625" customWidth="1"/>
    <col min="63" max="63" width="6.28515625" customWidth="1"/>
    <col min="64" max="64" width="6.28515625" bestFit="1" customWidth="1"/>
    <col min="65" max="65" width="7.28515625" bestFit="1" customWidth="1"/>
    <col min="66" max="66" width="8.5703125" bestFit="1" customWidth="1"/>
    <col min="67" max="67" width="6.28515625" bestFit="1" customWidth="1"/>
    <col min="68" max="68" width="8.42578125" bestFit="1" customWidth="1"/>
    <col min="69" max="69" width="6.28515625" bestFit="1" customWidth="1"/>
    <col min="70" max="70" width="6.28515625" customWidth="1"/>
    <col min="71" max="71" width="6.28515625" bestFit="1" customWidth="1"/>
    <col min="72" max="72" width="7.28515625" bestFit="1" customWidth="1"/>
    <col min="73" max="74" width="6.28515625" bestFit="1" customWidth="1"/>
    <col min="75" max="75" width="8.42578125" bestFit="1" customWidth="1"/>
    <col min="76" max="76" width="6.28515625" bestFit="1" customWidth="1"/>
    <col min="77" max="77" width="6.28515625" customWidth="1"/>
    <col min="78" max="78" width="6.28515625" bestFit="1" customWidth="1"/>
    <col min="79" max="79" width="7.28515625" bestFit="1" customWidth="1"/>
    <col min="80" max="80" width="8.5703125" bestFit="1" customWidth="1"/>
    <col min="81" max="81" width="6.28515625" bestFit="1" customWidth="1"/>
    <col min="82" max="82" width="8.42578125" bestFit="1" customWidth="1"/>
    <col min="83" max="83" width="6.28515625" bestFit="1" customWidth="1"/>
    <col min="84" max="84" width="6.28515625" customWidth="1"/>
    <col min="85" max="85" width="6.28515625" bestFit="1" customWidth="1"/>
  </cols>
  <sheetData>
    <row r="1" spans="1:86" s="41" customFormat="1" x14ac:dyDescent="0.25">
      <c r="A1" s="648" t="s">
        <v>354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  <c r="BC1" s="639"/>
      <c r="BD1" s="639"/>
      <c r="BE1" s="639"/>
      <c r="BF1" s="639"/>
      <c r="BG1" s="639"/>
      <c r="BH1" s="639"/>
      <c r="BI1" s="639"/>
      <c r="BJ1" s="639"/>
      <c r="BK1" s="639"/>
      <c r="BL1" s="639"/>
      <c r="BM1" s="639"/>
      <c r="BN1" s="639"/>
      <c r="BO1" s="639"/>
      <c r="BP1" s="639"/>
      <c r="BQ1" s="639"/>
      <c r="BR1" s="639"/>
      <c r="BS1" s="639"/>
      <c r="BT1" s="639"/>
      <c r="BU1" s="639"/>
      <c r="BV1" s="639"/>
      <c r="BW1" s="639"/>
      <c r="BX1" s="639"/>
      <c r="BY1" s="639"/>
      <c r="BZ1" s="639"/>
      <c r="CA1" s="639"/>
      <c r="CB1" s="639"/>
      <c r="CC1" s="639"/>
      <c r="CD1" s="639"/>
      <c r="CE1" s="639"/>
      <c r="CF1" s="639"/>
      <c r="CG1" s="639"/>
      <c r="CH1" s="639"/>
    </row>
    <row r="2" spans="1:86" s="41" customFormat="1" x14ac:dyDescent="0.25"/>
    <row r="3" spans="1:86" s="41" customFormat="1" ht="18.75" x14ac:dyDescent="0.25">
      <c r="A3" s="603" t="s">
        <v>123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  <c r="CG3" s="603"/>
      <c r="CH3" s="603"/>
    </row>
    <row r="4" spans="1:86" s="41" customFormat="1" x14ac:dyDescent="0.25">
      <c r="A4" s="606" t="s">
        <v>124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606"/>
      <c r="BJ4" s="606"/>
      <c r="BK4" s="606"/>
      <c r="BL4" s="606"/>
      <c r="BM4" s="606"/>
      <c r="BN4" s="606"/>
      <c r="BO4" s="606"/>
      <c r="BP4" s="606"/>
      <c r="BQ4" s="606"/>
      <c r="BR4" s="606"/>
      <c r="BS4" s="606"/>
      <c r="BT4" s="606"/>
      <c r="BU4" s="606"/>
      <c r="BV4" s="606"/>
      <c r="BW4" s="606"/>
      <c r="BX4" s="606"/>
      <c r="BY4" s="606"/>
      <c r="BZ4" s="606"/>
      <c r="CA4" s="606"/>
      <c r="CB4" s="606"/>
      <c r="CC4" s="606"/>
      <c r="CD4" s="606"/>
      <c r="CE4" s="606"/>
      <c r="CF4" s="606"/>
      <c r="CG4" s="606"/>
      <c r="CH4" s="606"/>
    </row>
    <row r="5" spans="1:86" s="41" customFormat="1" x14ac:dyDescent="0.25">
      <c r="P5" s="169"/>
      <c r="Q5" s="169"/>
      <c r="R5" s="169"/>
      <c r="S5" s="169"/>
      <c r="T5" s="169"/>
      <c r="U5" s="169"/>
      <c r="V5" s="169"/>
      <c r="W5" s="169"/>
      <c r="Y5" s="169"/>
    </row>
    <row r="6" spans="1:86" s="41" customFormat="1" ht="18.75" x14ac:dyDescent="0.3">
      <c r="A6" s="600" t="s">
        <v>773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0"/>
      <c r="BB6" s="600"/>
      <c r="BC6" s="600"/>
      <c r="BD6" s="600"/>
      <c r="BE6" s="600"/>
      <c r="BF6" s="600"/>
      <c r="BG6" s="600"/>
      <c r="BH6" s="600"/>
      <c r="BI6" s="600"/>
      <c r="BJ6" s="600"/>
      <c r="BK6" s="600"/>
      <c r="BL6" s="600"/>
      <c r="BM6" s="600"/>
      <c r="BN6" s="600"/>
      <c r="BO6" s="600"/>
      <c r="BP6" s="600"/>
      <c r="BQ6" s="600"/>
      <c r="BR6" s="600"/>
      <c r="BS6" s="600"/>
      <c r="BT6" s="600"/>
      <c r="BU6" s="600"/>
      <c r="BV6" s="600"/>
      <c r="BW6" s="600"/>
      <c r="BX6" s="600"/>
      <c r="BY6" s="600"/>
      <c r="BZ6" s="600"/>
      <c r="CA6" s="600"/>
      <c r="CB6" s="600"/>
      <c r="CC6" s="600"/>
      <c r="CD6" s="600"/>
      <c r="CE6" s="600"/>
      <c r="CF6" s="600"/>
      <c r="CG6" s="600"/>
      <c r="CH6" s="600"/>
    </row>
    <row r="7" spans="1:86" s="41" customFormat="1" x14ac:dyDescent="0.25"/>
    <row r="8" spans="1:86" s="41" customFormat="1" ht="18.75" x14ac:dyDescent="0.3">
      <c r="A8" s="600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</row>
    <row r="9" spans="1:86" s="41" customFormat="1" x14ac:dyDescent="0.25">
      <c r="A9" s="601" t="s">
        <v>226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  <c r="BM9" s="601"/>
      <c r="BN9" s="601"/>
      <c r="BO9" s="601"/>
      <c r="BP9" s="601"/>
      <c r="BQ9" s="601"/>
      <c r="BR9" s="601"/>
      <c r="BS9" s="601"/>
      <c r="BT9" s="601"/>
      <c r="BU9" s="601"/>
      <c r="BV9" s="601"/>
      <c r="BW9" s="601"/>
      <c r="BX9" s="601"/>
      <c r="BY9" s="601"/>
      <c r="BZ9" s="601"/>
      <c r="CA9" s="601"/>
      <c r="CB9" s="601"/>
      <c r="CC9" s="601"/>
      <c r="CD9" s="601"/>
      <c r="CE9" s="601"/>
      <c r="CF9" s="601"/>
      <c r="CG9" s="601"/>
      <c r="CH9" s="601"/>
    </row>
    <row r="10" spans="1:86" s="41" customFormat="1" x14ac:dyDescent="0.25">
      <c r="A10" s="649"/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172"/>
      <c r="BG10" s="172"/>
      <c r="BH10" s="172"/>
      <c r="BI10" s="172"/>
      <c r="BJ10" s="172"/>
      <c r="BK10" s="300"/>
      <c r="BL10" s="172"/>
      <c r="BM10" s="172"/>
      <c r="BN10" s="172"/>
      <c r="BO10" s="172"/>
      <c r="BP10" s="172"/>
      <c r="BQ10" s="172"/>
      <c r="BR10" s="300"/>
      <c r="BS10" s="172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</row>
    <row r="11" spans="1:86" s="41" customFormat="1" x14ac:dyDescent="0.25">
      <c r="A11" s="644" t="s">
        <v>4</v>
      </c>
      <c r="B11" s="644" t="s">
        <v>5</v>
      </c>
      <c r="C11" s="644" t="s">
        <v>6</v>
      </c>
      <c r="D11" s="644" t="s">
        <v>543</v>
      </c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50" t="s">
        <v>355</v>
      </c>
      <c r="Q11" s="651"/>
      <c r="R11" s="651"/>
      <c r="S11" s="651"/>
      <c r="T11" s="651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651"/>
      <c r="AM11" s="651"/>
      <c r="AN11" s="651"/>
      <c r="AO11" s="651"/>
      <c r="AP11" s="651"/>
      <c r="AQ11" s="651"/>
      <c r="AR11" s="651"/>
      <c r="AS11" s="651"/>
      <c r="AT11" s="651"/>
      <c r="AU11" s="651"/>
      <c r="AV11" s="651"/>
      <c r="AW11" s="651"/>
      <c r="AX11" s="651"/>
      <c r="AY11" s="651"/>
      <c r="AZ11" s="651"/>
      <c r="BA11" s="651"/>
      <c r="BB11" s="651"/>
      <c r="BC11" s="651"/>
      <c r="BD11" s="651"/>
      <c r="BE11" s="651"/>
      <c r="BF11" s="651"/>
      <c r="BG11" s="651"/>
      <c r="BH11" s="651"/>
      <c r="BI11" s="651"/>
      <c r="BJ11" s="651"/>
      <c r="BK11" s="651"/>
      <c r="BL11" s="651"/>
      <c r="BM11" s="651"/>
      <c r="BN11" s="651"/>
      <c r="BO11" s="651"/>
      <c r="BP11" s="651"/>
      <c r="BQ11" s="651"/>
      <c r="BR11" s="651"/>
      <c r="BS11" s="651"/>
      <c r="BT11" s="651"/>
      <c r="BU11" s="651"/>
      <c r="BV11" s="651"/>
      <c r="BW11" s="651"/>
      <c r="BX11" s="651"/>
      <c r="BY11" s="651"/>
      <c r="BZ11" s="651"/>
      <c r="CA11" s="651"/>
      <c r="CB11" s="651"/>
      <c r="CC11" s="651"/>
      <c r="CD11" s="651"/>
      <c r="CE11" s="651"/>
      <c r="CF11" s="651"/>
      <c r="CG11" s="652"/>
      <c r="CH11" s="617" t="s">
        <v>182</v>
      </c>
    </row>
    <row r="12" spans="1:86" s="41" customFormat="1" x14ac:dyDescent="0.25">
      <c r="A12" s="644"/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5" t="s">
        <v>748</v>
      </c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 t="s">
        <v>749</v>
      </c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  <c r="AO12" s="645"/>
      <c r="AP12" s="645"/>
      <c r="AQ12" s="645"/>
      <c r="AR12" s="645" t="s">
        <v>750</v>
      </c>
      <c r="AS12" s="645"/>
      <c r="AT12" s="645"/>
      <c r="AU12" s="645"/>
      <c r="AV12" s="645"/>
      <c r="AW12" s="645"/>
      <c r="AX12" s="645"/>
      <c r="AY12" s="645"/>
      <c r="AZ12" s="645"/>
      <c r="BA12" s="645"/>
      <c r="BB12" s="645"/>
      <c r="BC12" s="645"/>
      <c r="BD12" s="645"/>
      <c r="BE12" s="645"/>
      <c r="BF12" s="645" t="s">
        <v>751</v>
      </c>
      <c r="BG12" s="645"/>
      <c r="BH12" s="645"/>
      <c r="BI12" s="645"/>
      <c r="BJ12" s="645"/>
      <c r="BK12" s="645"/>
      <c r="BL12" s="645"/>
      <c r="BM12" s="645"/>
      <c r="BN12" s="645"/>
      <c r="BO12" s="645"/>
      <c r="BP12" s="645"/>
      <c r="BQ12" s="645"/>
      <c r="BR12" s="645"/>
      <c r="BS12" s="645"/>
      <c r="BT12" s="645" t="s">
        <v>752</v>
      </c>
      <c r="BU12" s="645"/>
      <c r="BV12" s="645"/>
      <c r="BW12" s="645"/>
      <c r="BX12" s="645"/>
      <c r="BY12" s="645"/>
      <c r="BZ12" s="645"/>
      <c r="CA12" s="645"/>
      <c r="CB12" s="645"/>
      <c r="CC12" s="645"/>
      <c r="CD12" s="645"/>
      <c r="CE12" s="645"/>
      <c r="CF12" s="645"/>
      <c r="CG12" s="645"/>
      <c r="CH12" s="617"/>
    </row>
    <row r="13" spans="1:86" s="41" customFormat="1" x14ac:dyDescent="0.25">
      <c r="A13" s="644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5"/>
      <c r="BH13" s="645"/>
      <c r="BI13" s="645"/>
      <c r="BJ13" s="645"/>
      <c r="BK13" s="645"/>
      <c r="BL13" s="645"/>
      <c r="BM13" s="645"/>
      <c r="BN13" s="645"/>
      <c r="BO13" s="645"/>
      <c r="BP13" s="645"/>
      <c r="BQ13" s="645"/>
      <c r="BR13" s="645"/>
      <c r="BS13" s="645"/>
      <c r="BT13" s="645"/>
      <c r="BU13" s="645"/>
      <c r="BV13" s="645"/>
      <c r="BW13" s="645"/>
      <c r="BX13" s="645"/>
      <c r="BY13" s="645"/>
      <c r="BZ13" s="645"/>
      <c r="CA13" s="645"/>
      <c r="CB13" s="645"/>
      <c r="CC13" s="645"/>
      <c r="CD13" s="645"/>
      <c r="CE13" s="645"/>
      <c r="CF13" s="645"/>
      <c r="CG13" s="645"/>
      <c r="CH13" s="617"/>
    </row>
    <row r="14" spans="1:86" s="41" customFormat="1" ht="36" customHeight="1" x14ac:dyDescent="0.25">
      <c r="A14" s="644"/>
      <c r="B14" s="644"/>
      <c r="C14" s="644"/>
      <c r="D14" s="645" t="s">
        <v>532</v>
      </c>
      <c r="E14" s="645"/>
      <c r="F14" s="645"/>
      <c r="G14" s="645"/>
      <c r="H14" s="645"/>
      <c r="I14" s="645"/>
      <c r="J14" s="617" t="s">
        <v>136</v>
      </c>
      <c r="K14" s="617"/>
      <c r="L14" s="617"/>
      <c r="M14" s="617"/>
      <c r="N14" s="617"/>
      <c r="O14" s="617"/>
      <c r="P14" s="645" t="s">
        <v>532</v>
      </c>
      <c r="Q14" s="645"/>
      <c r="R14" s="645"/>
      <c r="S14" s="645"/>
      <c r="T14" s="645"/>
      <c r="U14" s="645"/>
      <c r="V14" s="645"/>
      <c r="W14" s="617" t="s">
        <v>136</v>
      </c>
      <c r="X14" s="617"/>
      <c r="Y14" s="617"/>
      <c r="Z14" s="617"/>
      <c r="AA14" s="617"/>
      <c r="AB14" s="617"/>
      <c r="AC14" s="617"/>
      <c r="AD14" s="645" t="s">
        <v>532</v>
      </c>
      <c r="AE14" s="645"/>
      <c r="AF14" s="645"/>
      <c r="AG14" s="645"/>
      <c r="AH14" s="645"/>
      <c r="AI14" s="645"/>
      <c r="AJ14" s="645"/>
      <c r="AK14" s="617" t="s">
        <v>136</v>
      </c>
      <c r="AL14" s="617"/>
      <c r="AM14" s="617"/>
      <c r="AN14" s="617"/>
      <c r="AO14" s="617"/>
      <c r="AP14" s="617"/>
      <c r="AQ14" s="617"/>
      <c r="AR14" s="645" t="s">
        <v>532</v>
      </c>
      <c r="AS14" s="645"/>
      <c r="AT14" s="645"/>
      <c r="AU14" s="645"/>
      <c r="AV14" s="645"/>
      <c r="AW14" s="645"/>
      <c r="AX14" s="645"/>
      <c r="AY14" s="617" t="s">
        <v>136</v>
      </c>
      <c r="AZ14" s="617"/>
      <c r="BA14" s="617"/>
      <c r="BB14" s="617"/>
      <c r="BC14" s="617"/>
      <c r="BD14" s="617"/>
      <c r="BE14" s="617"/>
      <c r="BF14" s="645" t="s">
        <v>532</v>
      </c>
      <c r="BG14" s="645"/>
      <c r="BH14" s="645"/>
      <c r="BI14" s="645"/>
      <c r="BJ14" s="645"/>
      <c r="BK14" s="645"/>
      <c r="BL14" s="645"/>
      <c r="BM14" s="617" t="s">
        <v>136</v>
      </c>
      <c r="BN14" s="617"/>
      <c r="BO14" s="617"/>
      <c r="BP14" s="617"/>
      <c r="BQ14" s="617"/>
      <c r="BR14" s="617"/>
      <c r="BS14" s="617"/>
      <c r="BT14" s="645" t="s">
        <v>532</v>
      </c>
      <c r="BU14" s="645"/>
      <c r="BV14" s="645"/>
      <c r="BW14" s="645"/>
      <c r="BX14" s="645"/>
      <c r="BY14" s="645"/>
      <c r="BZ14" s="645"/>
      <c r="CA14" s="617" t="s">
        <v>136</v>
      </c>
      <c r="CB14" s="617"/>
      <c r="CC14" s="617"/>
      <c r="CD14" s="617"/>
      <c r="CE14" s="617"/>
      <c r="CF14" s="617"/>
      <c r="CG14" s="617"/>
      <c r="CH14" s="617"/>
    </row>
    <row r="15" spans="1:86" s="41" customFormat="1" ht="120" x14ac:dyDescent="0.25">
      <c r="A15" s="644"/>
      <c r="B15" s="644"/>
      <c r="C15" s="644"/>
      <c r="D15" s="176" t="s">
        <v>356</v>
      </c>
      <c r="E15" s="176" t="s">
        <v>237</v>
      </c>
      <c r="F15" s="176" t="s">
        <v>238</v>
      </c>
      <c r="G15" s="163" t="s">
        <v>239</v>
      </c>
      <c r="H15" s="176" t="s">
        <v>240</v>
      </c>
      <c r="I15" s="176" t="s">
        <v>241</v>
      </c>
      <c r="J15" s="176" t="s">
        <v>356</v>
      </c>
      <c r="K15" s="176" t="s">
        <v>237</v>
      </c>
      <c r="L15" s="176" t="s">
        <v>238</v>
      </c>
      <c r="M15" s="163" t="s">
        <v>239</v>
      </c>
      <c r="N15" s="176" t="s">
        <v>240</v>
      </c>
      <c r="O15" s="176" t="s">
        <v>241</v>
      </c>
      <c r="P15" s="176" t="s">
        <v>356</v>
      </c>
      <c r="Q15" s="176" t="s">
        <v>237</v>
      </c>
      <c r="R15" s="176" t="s">
        <v>238</v>
      </c>
      <c r="S15" s="163" t="s">
        <v>239</v>
      </c>
      <c r="T15" s="176" t="s">
        <v>240</v>
      </c>
      <c r="U15" s="311" t="s">
        <v>572</v>
      </c>
      <c r="V15" s="311" t="s">
        <v>573</v>
      </c>
      <c r="W15" s="176" t="s">
        <v>356</v>
      </c>
      <c r="X15" s="176" t="s">
        <v>237</v>
      </c>
      <c r="Y15" s="176" t="s">
        <v>238</v>
      </c>
      <c r="Z15" s="163" t="s">
        <v>239</v>
      </c>
      <c r="AA15" s="176" t="s">
        <v>240</v>
      </c>
      <c r="AB15" s="311" t="s">
        <v>572</v>
      </c>
      <c r="AC15" s="311" t="s">
        <v>573</v>
      </c>
      <c r="AD15" s="176" t="s">
        <v>356</v>
      </c>
      <c r="AE15" s="176" t="s">
        <v>237</v>
      </c>
      <c r="AF15" s="176" t="s">
        <v>238</v>
      </c>
      <c r="AG15" s="163" t="s">
        <v>239</v>
      </c>
      <c r="AH15" s="176" t="s">
        <v>240</v>
      </c>
      <c r="AI15" s="311" t="s">
        <v>572</v>
      </c>
      <c r="AJ15" s="311" t="s">
        <v>573</v>
      </c>
      <c r="AK15" s="176" t="s">
        <v>356</v>
      </c>
      <c r="AL15" s="176" t="s">
        <v>237</v>
      </c>
      <c r="AM15" s="176" t="s">
        <v>238</v>
      </c>
      <c r="AN15" s="163" t="s">
        <v>239</v>
      </c>
      <c r="AO15" s="176" t="s">
        <v>240</v>
      </c>
      <c r="AP15" s="311" t="s">
        <v>572</v>
      </c>
      <c r="AQ15" s="311" t="s">
        <v>573</v>
      </c>
      <c r="AR15" s="429" t="s">
        <v>356</v>
      </c>
      <c r="AS15" s="429" t="s">
        <v>237</v>
      </c>
      <c r="AT15" s="429" t="s">
        <v>238</v>
      </c>
      <c r="AU15" s="428" t="s">
        <v>239</v>
      </c>
      <c r="AV15" s="429" t="s">
        <v>240</v>
      </c>
      <c r="AW15" s="429" t="s">
        <v>572</v>
      </c>
      <c r="AX15" s="429" t="s">
        <v>573</v>
      </c>
      <c r="AY15" s="429" t="s">
        <v>356</v>
      </c>
      <c r="AZ15" s="429" t="s">
        <v>237</v>
      </c>
      <c r="BA15" s="429" t="s">
        <v>238</v>
      </c>
      <c r="BB15" s="428" t="s">
        <v>239</v>
      </c>
      <c r="BC15" s="429" t="s">
        <v>240</v>
      </c>
      <c r="BD15" s="429" t="s">
        <v>572</v>
      </c>
      <c r="BE15" s="429" t="s">
        <v>573</v>
      </c>
      <c r="BF15" s="176" t="s">
        <v>356</v>
      </c>
      <c r="BG15" s="176" t="s">
        <v>237</v>
      </c>
      <c r="BH15" s="176" t="s">
        <v>238</v>
      </c>
      <c r="BI15" s="163" t="s">
        <v>239</v>
      </c>
      <c r="BJ15" s="176" t="s">
        <v>240</v>
      </c>
      <c r="BK15" s="311" t="s">
        <v>572</v>
      </c>
      <c r="BL15" s="311" t="s">
        <v>573</v>
      </c>
      <c r="BM15" s="176" t="s">
        <v>356</v>
      </c>
      <c r="BN15" s="176" t="s">
        <v>237</v>
      </c>
      <c r="BO15" s="176" t="s">
        <v>238</v>
      </c>
      <c r="BP15" s="163" t="s">
        <v>239</v>
      </c>
      <c r="BQ15" s="176" t="s">
        <v>240</v>
      </c>
      <c r="BR15" s="311" t="s">
        <v>572</v>
      </c>
      <c r="BS15" s="311" t="s">
        <v>573</v>
      </c>
      <c r="BT15" s="429" t="s">
        <v>356</v>
      </c>
      <c r="BU15" s="429" t="s">
        <v>237</v>
      </c>
      <c r="BV15" s="429" t="s">
        <v>238</v>
      </c>
      <c r="BW15" s="428" t="s">
        <v>239</v>
      </c>
      <c r="BX15" s="429" t="s">
        <v>240</v>
      </c>
      <c r="BY15" s="429" t="s">
        <v>572</v>
      </c>
      <c r="BZ15" s="429" t="s">
        <v>573</v>
      </c>
      <c r="CA15" s="429" t="s">
        <v>356</v>
      </c>
      <c r="CB15" s="429" t="s">
        <v>237</v>
      </c>
      <c r="CC15" s="429" t="s">
        <v>238</v>
      </c>
      <c r="CD15" s="428" t="s">
        <v>239</v>
      </c>
      <c r="CE15" s="429" t="s">
        <v>240</v>
      </c>
      <c r="CF15" s="429" t="s">
        <v>572</v>
      </c>
      <c r="CG15" s="429" t="s">
        <v>573</v>
      </c>
      <c r="CH15" s="617"/>
    </row>
    <row r="16" spans="1:86" s="41" customFormat="1" x14ac:dyDescent="0.25">
      <c r="A16" s="177">
        <v>1</v>
      </c>
      <c r="B16" s="177">
        <v>2</v>
      </c>
      <c r="C16" s="177">
        <v>3</v>
      </c>
      <c r="D16" s="178" t="s">
        <v>320</v>
      </c>
      <c r="E16" s="178" t="s">
        <v>321</v>
      </c>
      <c r="F16" s="178" t="s">
        <v>322</v>
      </c>
      <c r="G16" s="178" t="s">
        <v>323</v>
      </c>
      <c r="H16" s="178" t="s">
        <v>324</v>
      </c>
      <c r="I16" s="178" t="s">
        <v>325</v>
      </c>
      <c r="J16" s="178" t="s">
        <v>327</v>
      </c>
      <c r="K16" s="178" t="s">
        <v>328</v>
      </c>
      <c r="L16" s="178" t="s">
        <v>329</v>
      </c>
      <c r="M16" s="178" t="s">
        <v>330</v>
      </c>
      <c r="N16" s="178" t="s">
        <v>331</v>
      </c>
      <c r="O16" s="178" t="s">
        <v>332</v>
      </c>
      <c r="P16" s="178" t="s">
        <v>357</v>
      </c>
      <c r="Q16" s="178" t="s">
        <v>358</v>
      </c>
      <c r="R16" s="178" t="s">
        <v>359</v>
      </c>
      <c r="S16" s="178" t="s">
        <v>360</v>
      </c>
      <c r="T16" s="178" t="s">
        <v>361</v>
      </c>
      <c r="U16" s="178" t="s">
        <v>362</v>
      </c>
      <c r="V16" s="178" t="s">
        <v>584</v>
      </c>
      <c r="W16" s="178" t="s">
        <v>363</v>
      </c>
      <c r="X16" s="178" t="s">
        <v>364</v>
      </c>
      <c r="Y16" s="178" t="s">
        <v>365</v>
      </c>
      <c r="Z16" s="178" t="s">
        <v>366</v>
      </c>
      <c r="AA16" s="178" t="s">
        <v>367</v>
      </c>
      <c r="AB16" s="178" t="s">
        <v>368</v>
      </c>
      <c r="AC16" s="178" t="s">
        <v>585</v>
      </c>
      <c r="AD16" s="178" t="s">
        <v>369</v>
      </c>
      <c r="AE16" s="178" t="s">
        <v>370</v>
      </c>
      <c r="AF16" s="178" t="s">
        <v>371</v>
      </c>
      <c r="AG16" s="178" t="s">
        <v>372</v>
      </c>
      <c r="AH16" s="178" t="s">
        <v>373</v>
      </c>
      <c r="AI16" s="178" t="s">
        <v>374</v>
      </c>
      <c r="AJ16" s="178" t="s">
        <v>586</v>
      </c>
      <c r="AK16" s="178" t="s">
        <v>375</v>
      </c>
      <c r="AL16" s="178" t="s">
        <v>376</v>
      </c>
      <c r="AM16" s="178" t="s">
        <v>377</v>
      </c>
      <c r="AN16" s="178" t="s">
        <v>378</v>
      </c>
      <c r="AO16" s="178" t="s">
        <v>379</v>
      </c>
      <c r="AP16" s="178" t="s">
        <v>380</v>
      </c>
      <c r="AQ16" s="178" t="s">
        <v>587</v>
      </c>
      <c r="AR16" s="178" t="s">
        <v>381</v>
      </c>
      <c r="AS16" s="178" t="s">
        <v>382</v>
      </c>
      <c r="AT16" s="178" t="s">
        <v>383</v>
      </c>
      <c r="AU16" s="178" t="s">
        <v>384</v>
      </c>
      <c r="AV16" s="178" t="s">
        <v>385</v>
      </c>
      <c r="AW16" s="178" t="s">
        <v>386</v>
      </c>
      <c r="AX16" s="178" t="s">
        <v>588</v>
      </c>
      <c r="AY16" s="178" t="s">
        <v>387</v>
      </c>
      <c r="AZ16" s="178" t="s">
        <v>388</v>
      </c>
      <c r="BA16" s="178" t="s">
        <v>389</v>
      </c>
      <c r="BB16" s="178" t="s">
        <v>390</v>
      </c>
      <c r="BC16" s="178" t="s">
        <v>391</v>
      </c>
      <c r="BD16" s="178" t="s">
        <v>392</v>
      </c>
      <c r="BE16" s="178" t="s">
        <v>589</v>
      </c>
      <c r="BF16" s="178" t="s">
        <v>381</v>
      </c>
      <c r="BG16" s="178" t="s">
        <v>382</v>
      </c>
      <c r="BH16" s="178" t="s">
        <v>383</v>
      </c>
      <c r="BI16" s="178" t="s">
        <v>384</v>
      </c>
      <c r="BJ16" s="178" t="s">
        <v>385</v>
      </c>
      <c r="BK16" s="178" t="s">
        <v>386</v>
      </c>
      <c r="BL16" s="178" t="s">
        <v>588</v>
      </c>
      <c r="BM16" s="178" t="s">
        <v>387</v>
      </c>
      <c r="BN16" s="178" t="s">
        <v>388</v>
      </c>
      <c r="BO16" s="178" t="s">
        <v>389</v>
      </c>
      <c r="BP16" s="178" t="s">
        <v>390</v>
      </c>
      <c r="BQ16" s="178" t="s">
        <v>391</v>
      </c>
      <c r="BR16" s="178" t="s">
        <v>392</v>
      </c>
      <c r="BS16" s="178" t="s">
        <v>589</v>
      </c>
      <c r="BT16" s="178" t="s">
        <v>381</v>
      </c>
      <c r="BU16" s="178" t="s">
        <v>382</v>
      </c>
      <c r="BV16" s="178" t="s">
        <v>383</v>
      </c>
      <c r="BW16" s="178" t="s">
        <v>384</v>
      </c>
      <c r="BX16" s="178" t="s">
        <v>385</v>
      </c>
      <c r="BY16" s="178" t="s">
        <v>386</v>
      </c>
      <c r="BZ16" s="178" t="s">
        <v>588</v>
      </c>
      <c r="CA16" s="178" t="s">
        <v>387</v>
      </c>
      <c r="CB16" s="178" t="s">
        <v>388</v>
      </c>
      <c r="CC16" s="178" t="s">
        <v>389</v>
      </c>
      <c r="CD16" s="178" t="s">
        <v>390</v>
      </c>
      <c r="CE16" s="178" t="s">
        <v>391</v>
      </c>
      <c r="CF16" s="178" t="s">
        <v>392</v>
      </c>
      <c r="CG16" s="178" t="s">
        <v>589</v>
      </c>
      <c r="CH16" s="178" t="s">
        <v>349</v>
      </c>
    </row>
    <row r="17" spans="1:86" s="185" customFormat="1" x14ac:dyDescent="0.25">
      <c r="A17" s="183" t="s">
        <v>33</v>
      </c>
      <c r="B17" s="64" t="s">
        <v>34</v>
      </c>
      <c r="C17" s="184">
        <v>0</v>
      </c>
      <c r="D17" s="184" t="e">
        <f>D18</f>
        <v>#REF!</v>
      </c>
      <c r="E17" s="184" t="e">
        <f t="shared" ref="E17:P17" si="0">E18</f>
        <v>#REF!</v>
      </c>
      <c r="F17" s="184" t="e">
        <f t="shared" si="0"/>
        <v>#REF!</v>
      </c>
      <c r="G17" s="184" t="e">
        <f t="shared" si="0"/>
        <v>#REF!</v>
      </c>
      <c r="H17" s="184" t="e">
        <f t="shared" si="0"/>
        <v>#REF!</v>
      </c>
      <c r="I17" s="184" t="e">
        <f t="shared" si="0"/>
        <v>#REF!</v>
      </c>
      <c r="J17" s="184" t="e">
        <f t="shared" si="0"/>
        <v>#REF!</v>
      </c>
      <c r="K17" s="184" t="e">
        <f t="shared" si="0"/>
        <v>#REF!</v>
      </c>
      <c r="L17" s="184" t="e">
        <f t="shared" si="0"/>
        <v>#REF!</v>
      </c>
      <c r="M17" s="184" t="e">
        <f t="shared" si="0"/>
        <v>#REF!</v>
      </c>
      <c r="N17" s="184" t="e">
        <f t="shared" si="0"/>
        <v>#REF!</v>
      </c>
      <c r="O17" s="184" t="e">
        <f t="shared" si="0"/>
        <v>#REF!</v>
      </c>
      <c r="P17" s="184">
        <f t="shared" si="0"/>
        <v>0</v>
      </c>
      <c r="Q17" s="184">
        <f>Q18</f>
        <v>0</v>
      </c>
      <c r="R17" s="184">
        <f t="shared" ref="R17:CC17" si="1">R18</f>
        <v>0</v>
      </c>
      <c r="S17" s="184">
        <f t="shared" si="1"/>
        <v>0</v>
      </c>
      <c r="T17" s="184">
        <f t="shared" si="1"/>
        <v>6.4</v>
      </c>
      <c r="U17" s="320">
        <f t="shared" si="1"/>
        <v>347</v>
      </c>
      <c r="V17" s="184">
        <f t="shared" si="1"/>
        <v>0</v>
      </c>
      <c r="W17" s="184">
        <f t="shared" si="1"/>
        <v>0</v>
      </c>
      <c r="X17" s="184">
        <f t="shared" si="1"/>
        <v>0</v>
      </c>
      <c r="Y17" s="184">
        <f t="shared" si="1"/>
        <v>0</v>
      </c>
      <c r="Z17" s="184">
        <f t="shared" si="1"/>
        <v>0</v>
      </c>
      <c r="AA17" s="184">
        <f t="shared" si="1"/>
        <v>0</v>
      </c>
      <c r="AB17" s="184">
        <f t="shared" si="1"/>
        <v>0</v>
      </c>
      <c r="AC17" s="184">
        <f t="shared" si="1"/>
        <v>0</v>
      </c>
      <c r="AD17" s="184">
        <f t="shared" si="1"/>
        <v>0</v>
      </c>
      <c r="AE17" s="184">
        <f t="shared" si="1"/>
        <v>0</v>
      </c>
      <c r="AF17" s="184">
        <f t="shared" si="1"/>
        <v>0</v>
      </c>
      <c r="AG17" s="184">
        <f t="shared" si="1"/>
        <v>3.95</v>
      </c>
      <c r="AH17" s="184">
        <f t="shared" si="1"/>
        <v>0.25</v>
      </c>
      <c r="AI17" s="320">
        <f t="shared" si="1"/>
        <v>287</v>
      </c>
      <c r="AJ17" s="184">
        <f t="shared" si="1"/>
        <v>0</v>
      </c>
      <c r="AK17" s="184">
        <f t="shared" si="1"/>
        <v>0</v>
      </c>
      <c r="AL17" s="184">
        <f t="shared" si="1"/>
        <v>0</v>
      </c>
      <c r="AM17" s="184">
        <f t="shared" si="1"/>
        <v>0</v>
      </c>
      <c r="AN17" s="184">
        <f t="shared" si="1"/>
        <v>0</v>
      </c>
      <c r="AO17" s="184">
        <f t="shared" si="1"/>
        <v>0</v>
      </c>
      <c r="AP17" s="184">
        <f t="shared" si="1"/>
        <v>0</v>
      </c>
      <c r="AQ17" s="184">
        <f t="shared" si="1"/>
        <v>0</v>
      </c>
      <c r="AR17" s="184">
        <f t="shared" si="1"/>
        <v>0</v>
      </c>
      <c r="AS17" s="184">
        <f t="shared" si="1"/>
        <v>0</v>
      </c>
      <c r="AT17" s="184">
        <f t="shared" si="1"/>
        <v>0</v>
      </c>
      <c r="AU17" s="184">
        <f t="shared" si="1"/>
        <v>1.5659999999999998</v>
      </c>
      <c r="AV17" s="184">
        <f t="shared" si="1"/>
        <v>0</v>
      </c>
      <c r="AW17" s="473">
        <f t="shared" si="1"/>
        <v>171</v>
      </c>
      <c r="AX17" s="473">
        <f t="shared" si="1"/>
        <v>1</v>
      </c>
      <c r="AY17" s="184">
        <f t="shared" si="1"/>
        <v>0</v>
      </c>
      <c r="AZ17" s="184">
        <f t="shared" si="1"/>
        <v>0</v>
      </c>
      <c r="BA17" s="184">
        <f t="shared" si="1"/>
        <v>0</v>
      </c>
      <c r="BB17" s="184">
        <f t="shared" si="1"/>
        <v>0</v>
      </c>
      <c r="BC17" s="184">
        <f t="shared" si="1"/>
        <v>0</v>
      </c>
      <c r="BD17" s="184">
        <f t="shared" si="1"/>
        <v>0</v>
      </c>
      <c r="BE17" s="184">
        <f t="shared" si="1"/>
        <v>0</v>
      </c>
      <c r="BF17" s="184">
        <f t="shared" si="1"/>
        <v>0</v>
      </c>
      <c r="BG17" s="184">
        <f t="shared" si="1"/>
        <v>0</v>
      </c>
      <c r="BH17" s="184">
        <f t="shared" si="1"/>
        <v>0</v>
      </c>
      <c r="BI17" s="184">
        <f t="shared" si="1"/>
        <v>2.0659999999999998</v>
      </c>
      <c r="BJ17" s="184">
        <f t="shared" si="1"/>
        <v>0.66</v>
      </c>
      <c r="BK17" s="473">
        <f t="shared" si="1"/>
        <v>201</v>
      </c>
      <c r="BL17" s="473">
        <f t="shared" si="1"/>
        <v>1</v>
      </c>
      <c r="BM17" s="184">
        <f t="shared" si="1"/>
        <v>0</v>
      </c>
      <c r="BN17" s="184">
        <f t="shared" si="1"/>
        <v>0</v>
      </c>
      <c r="BO17" s="184">
        <f t="shared" si="1"/>
        <v>0</v>
      </c>
      <c r="BP17" s="184">
        <f t="shared" si="1"/>
        <v>0</v>
      </c>
      <c r="BQ17" s="184">
        <f t="shared" si="1"/>
        <v>0</v>
      </c>
      <c r="BR17" s="184">
        <f t="shared" si="1"/>
        <v>0</v>
      </c>
      <c r="BS17" s="184">
        <f t="shared" si="1"/>
        <v>0</v>
      </c>
      <c r="BT17" s="184">
        <f t="shared" si="1"/>
        <v>0</v>
      </c>
      <c r="BU17" s="184">
        <f t="shared" si="1"/>
        <v>0</v>
      </c>
      <c r="BV17" s="184">
        <f t="shared" si="1"/>
        <v>0</v>
      </c>
      <c r="BW17" s="184">
        <f t="shared" si="1"/>
        <v>0</v>
      </c>
      <c r="BX17" s="184">
        <f t="shared" si="1"/>
        <v>0</v>
      </c>
      <c r="BY17" s="473">
        <f t="shared" si="1"/>
        <v>213</v>
      </c>
      <c r="BZ17" s="184">
        <f t="shared" si="1"/>
        <v>0</v>
      </c>
      <c r="CA17" s="184">
        <f t="shared" si="1"/>
        <v>0</v>
      </c>
      <c r="CB17" s="184">
        <f t="shared" si="1"/>
        <v>0</v>
      </c>
      <c r="CC17" s="184">
        <f t="shared" si="1"/>
        <v>0</v>
      </c>
      <c r="CD17" s="184">
        <f t="shared" ref="CD17:CH17" si="2">CD18</f>
        <v>0</v>
      </c>
      <c r="CE17" s="184">
        <f t="shared" si="2"/>
        <v>0</v>
      </c>
      <c r="CF17" s="184">
        <f t="shared" si="2"/>
        <v>0</v>
      </c>
      <c r="CG17" s="184">
        <f t="shared" si="2"/>
        <v>0</v>
      </c>
      <c r="CH17" s="184">
        <f t="shared" si="2"/>
        <v>0</v>
      </c>
    </row>
    <row r="18" spans="1:86" s="189" customFormat="1" x14ac:dyDescent="0.25">
      <c r="A18" s="186" t="s">
        <v>81</v>
      </c>
      <c r="B18" s="9" t="s">
        <v>36</v>
      </c>
      <c r="C18" s="187">
        <v>0</v>
      </c>
      <c r="D18" s="187" t="e">
        <f t="shared" ref="D18:P18" si="3">D19+D38</f>
        <v>#REF!</v>
      </c>
      <c r="E18" s="187" t="e">
        <f t="shared" si="3"/>
        <v>#REF!</v>
      </c>
      <c r="F18" s="187" t="e">
        <f t="shared" si="3"/>
        <v>#REF!</v>
      </c>
      <c r="G18" s="187" t="e">
        <f t="shared" si="3"/>
        <v>#REF!</v>
      </c>
      <c r="H18" s="187" t="e">
        <f t="shared" si="3"/>
        <v>#REF!</v>
      </c>
      <c r="I18" s="187" t="e">
        <f t="shared" si="3"/>
        <v>#REF!</v>
      </c>
      <c r="J18" s="187" t="e">
        <f t="shared" si="3"/>
        <v>#REF!</v>
      </c>
      <c r="K18" s="187" t="e">
        <f t="shared" si="3"/>
        <v>#REF!</v>
      </c>
      <c r="L18" s="187" t="e">
        <f t="shared" si="3"/>
        <v>#REF!</v>
      </c>
      <c r="M18" s="187" t="e">
        <f t="shared" si="3"/>
        <v>#REF!</v>
      </c>
      <c r="N18" s="187" t="e">
        <f t="shared" si="3"/>
        <v>#REF!</v>
      </c>
      <c r="O18" s="187" t="e">
        <f t="shared" si="3"/>
        <v>#REF!</v>
      </c>
      <c r="P18" s="187">
        <f t="shared" si="3"/>
        <v>0</v>
      </c>
      <c r="Q18" s="187">
        <f>Q38+Q73</f>
        <v>0</v>
      </c>
      <c r="R18" s="187">
        <f t="shared" ref="R18:CC18" si="4">R38+R73</f>
        <v>0</v>
      </c>
      <c r="S18" s="187">
        <f t="shared" si="4"/>
        <v>0</v>
      </c>
      <c r="T18" s="187">
        <f t="shared" si="4"/>
        <v>6.4</v>
      </c>
      <c r="U18" s="321">
        <f t="shared" si="4"/>
        <v>347</v>
      </c>
      <c r="V18" s="187">
        <f t="shared" si="4"/>
        <v>0</v>
      </c>
      <c r="W18" s="187">
        <f t="shared" si="4"/>
        <v>0</v>
      </c>
      <c r="X18" s="187">
        <f t="shared" si="4"/>
        <v>0</v>
      </c>
      <c r="Y18" s="187">
        <f t="shared" si="4"/>
        <v>0</v>
      </c>
      <c r="Z18" s="187">
        <f t="shared" si="4"/>
        <v>0</v>
      </c>
      <c r="AA18" s="187">
        <f t="shared" si="4"/>
        <v>0</v>
      </c>
      <c r="AB18" s="187">
        <f t="shared" si="4"/>
        <v>0</v>
      </c>
      <c r="AC18" s="187">
        <f t="shared" si="4"/>
        <v>0</v>
      </c>
      <c r="AD18" s="187">
        <f t="shared" si="4"/>
        <v>0</v>
      </c>
      <c r="AE18" s="187">
        <f t="shared" si="4"/>
        <v>0</v>
      </c>
      <c r="AF18" s="187">
        <f t="shared" si="4"/>
        <v>0</v>
      </c>
      <c r="AG18" s="187">
        <f t="shared" si="4"/>
        <v>3.95</v>
      </c>
      <c r="AH18" s="187">
        <f t="shared" si="4"/>
        <v>0.25</v>
      </c>
      <c r="AI18" s="321">
        <f t="shared" si="4"/>
        <v>287</v>
      </c>
      <c r="AJ18" s="187">
        <f t="shared" si="4"/>
        <v>0</v>
      </c>
      <c r="AK18" s="187">
        <f t="shared" si="4"/>
        <v>0</v>
      </c>
      <c r="AL18" s="187">
        <f t="shared" si="4"/>
        <v>0</v>
      </c>
      <c r="AM18" s="187">
        <f t="shared" si="4"/>
        <v>0</v>
      </c>
      <c r="AN18" s="187">
        <f t="shared" si="4"/>
        <v>0</v>
      </c>
      <c r="AO18" s="187">
        <f t="shared" si="4"/>
        <v>0</v>
      </c>
      <c r="AP18" s="187">
        <f t="shared" si="4"/>
        <v>0</v>
      </c>
      <c r="AQ18" s="187">
        <f t="shared" si="4"/>
        <v>0</v>
      </c>
      <c r="AR18" s="187">
        <f t="shared" si="4"/>
        <v>0</v>
      </c>
      <c r="AS18" s="187">
        <f t="shared" si="4"/>
        <v>0</v>
      </c>
      <c r="AT18" s="187">
        <f t="shared" si="4"/>
        <v>0</v>
      </c>
      <c r="AU18" s="187">
        <f t="shared" si="4"/>
        <v>1.5659999999999998</v>
      </c>
      <c r="AV18" s="187">
        <f t="shared" si="4"/>
        <v>0</v>
      </c>
      <c r="AW18" s="474">
        <f t="shared" si="4"/>
        <v>171</v>
      </c>
      <c r="AX18" s="474">
        <f t="shared" si="4"/>
        <v>1</v>
      </c>
      <c r="AY18" s="187">
        <f t="shared" si="4"/>
        <v>0</v>
      </c>
      <c r="AZ18" s="187">
        <f t="shared" si="4"/>
        <v>0</v>
      </c>
      <c r="BA18" s="187">
        <f t="shared" si="4"/>
        <v>0</v>
      </c>
      <c r="BB18" s="187">
        <f t="shared" si="4"/>
        <v>0</v>
      </c>
      <c r="BC18" s="187">
        <f t="shared" si="4"/>
        <v>0</v>
      </c>
      <c r="BD18" s="187">
        <f t="shared" si="4"/>
        <v>0</v>
      </c>
      <c r="BE18" s="187">
        <f t="shared" si="4"/>
        <v>0</v>
      </c>
      <c r="BF18" s="187">
        <f t="shared" si="4"/>
        <v>0</v>
      </c>
      <c r="BG18" s="187">
        <f t="shared" si="4"/>
        <v>0</v>
      </c>
      <c r="BH18" s="187">
        <f t="shared" si="4"/>
        <v>0</v>
      </c>
      <c r="BI18" s="187">
        <f t="shared" si="4"/>
        <v>2.0659999999999998</v>
      </c>
      <c r="BJ18" s="187">
        <f t="shared" si="4"/>
        <v>0.66</v>
      </c>
      <c r="BK18" s="474">
        <f t="shared" si="4"/>
        <v>201</v>
      </c>
      <c r="BL18" s="474">
        <f t="shared" si="4"/>
        <v>1</v>
      </c>
      <c r="BM18" s="187">
        <f t="shared" si="4"/>
        <v>0</v>
      </c>
      <c r="BN18" s="187">
        <f t="shared" si="4"/>
        <v>0</v>
      </c>
      <c r="BO18" s="187">
        <f t="shared" si="4"/>
        <v>0</v>
      </c>
      <c r="BP18" s="187">
        <f t="shared" si="4"/>
        <v>0</v>
      </c>
      <c r="BQ18" s="187">
        <f t="shared" si="4"/>
        <v>0</v>
      </c>
      <c r="BR18" s="187">
        <f t="shared" si="4"/>
        <v>0</v>
      </c>
      <c r="BS18" s="187">
        <f t="shared" si="4"/>
        <v>0</v>
      </c>
      <c r="BT18" s="187">
        <f t="shared" si="4"/>
        <v>0</v>
      </c>
      <c r="BU18" s="187">
        <f t="shared" si="4"/>
        <v>0</v>
      </c>
      <c r="BV18" s="187">
        <f t="shared" si="4"/>
        <v>0</v>
      </c>
      <c r="BW18" s="187">
        <f t="shared" si="4"/>
        <v>0</v>
      </c>
      <c r="BX18" s="187">
        <f t="shared" si="4"/>
        <v>0</v>
      </c>
      <c r="BY18" s="474">
        <f t="shared" si="4"/>
        <v>213</v>
      </c>
      <c r="BZ18" s="187">
        <f t="shared" si="4"/>
        <v>0</v>
      </c>
      <c r="CA18" s="187">
        <f t="shared" si="4"/>
        <v>0</v>
      </c>
      <c r="CB18" s="187">
        <f t="shared" si="4"/>
        <v>0</v>
      </c>
      <c r="CC18" s="187">
        <f t="shared" si="4"/>
        <v>0</v>
      </c>
      <c r="CD18" s="187">
        <f t="shared" ref="CD18:CH18" si="5">CD38+CD73</f>
        <v>0</v>
      </c>
      <c r="CE18" s="187">
        <f t="shared" si="5"/>
        <v>0</v>
      </c>
      <c r="CF18" s="187">
        <f t="shared" si="5"/>
        <v>0</v>
      </c>
      <c r="CG18" s="187">
        <f t="shared" si="5"/>
        <v>0</v>
      </c>
      <c r="CH18" s="187">
        <f t="shared" si="5"/>
        <v>0</v>
      </c>
    </row>
    <row r="19" spans="1:86" s="185" customFormat="1" x14ac:dyDescent="0.25">
      <c r="A19" s="183" t="s">
        <v>37</v>
      </c>
      <c r="B19" s="64" t="s">
        <v>38</v>
      </c>
      <c r="C19" s="184">
        <v>0</v>
      </c>
      <c r="D19" s="184" t="e">
        <f>D36</f>
        <v>#REF!</v>
      </c>
      <c r="E19" s="184" t="e">
        <f t="shared" ref="E19:AJ19" si="6">E36</f>
        <v>#REF!</v>
      </c>
      <c r="F19" s="184" t="e">
        <f t="shared" si="6"/>
        <v>#REF!</v>
      </c>
      <c r="G19" s="184" t="e">
        <f t="shared" si="6"/>
        <v>#REF!</v>
      </c>
      <c r="H19" s="184" t="e">
        <f t="shared" si="6"/>
        <v>#REF!</v>
      </c>
      <c r="I19" s="184" t="e">
        <f t="shared" si="6"/>
        <v>#REF!</v>
      </c>
      <c r="J19" s="184" t="e">
        <f t="shared" si="6"/>
        <v>#REF!</v>
      </c>
      <c r="K19" s="184" t="e">
        <f t="shared" si="6"/>
        <v>#REF!</v>
      </c>
      <c r="L19" s="184" t="e">
        <f t="shared" si="6"/>
        <v>#REF!</v>
      </c>
      <c r="M19" s="184" t="e">
        <f t="shared" si="6"/>
        <v>#REF!</v>
      </c>
      <c r="N19" s="184" t="e">
        <f t="shared" si="6"/>
        <v>#REF!</v>
      </c>
      <c r="O19" s="184" t="e">
        <f t="shared" si="6"/>
        <v>#REF!</v>
      </c>
      <c r="P19" s="184">
        <f t="shared" si="6"/>
        <v>0</v>
      </c>
      <c r="Q19" s="184">
        <f t="shared" si="6"/>
        <v>0</v>
      </c>
      <c r="R19" s="184">
        <f t="shared" si="6"/>
        <v>0</v>
      </c>
      <c r="S19" s="184">
        <f t="shared" si="6"/>
        <v>0</v>
      </c>
      <c r="T19" s="184">
        <f t="shared" si="6"/>
        <v>0</v>
      </c>
      <c r="U19" s="320"/>
      <c r="V19" s="184">
        <f t="shared" si="6"/>
        <v>0</v>
      </c>
      <c r="W19" s="184">
        <f t="shared" si="6"/>
        <v>0</v>
      </c>
      <c r="X19" s="184">
        <f t="shared" si="6"/>
        <v>0</v>
      </c>
      <c r="Y19" s="184">
        <f t="shared" si="6"/>
        <v>0</v>
      </c>
      <c r="Z19" s="184">
        <f t="shared" si="6"/>
        <v>0</v>
      </c>
      <c r="AA19" s="184">
        <f t="shared" si="6"/>
        <v>0</v>
      </c>
      <c r="AB19" s="184"/>
      <c r="AC19" s="184">
        <f t="shared" si="6"/>
        <v>0</v>
      </c>
      <c r="AD19" s="184">
        <f t="shared" si="6"/>
        <v>0</v>
      </c>
      <c r="AE19" s="184">
        <f t="shared" si="6"/>
        <v>0</v>
      </c>
      <c r="AF19" s="184">
        <f t="shared" si="6"/>
        <v>0</v>
      </c>
      <c r="AG19" s="184">
        <f t="shared" si="6"/>
        <v>0</v>
      </c>
      <c r="AH19" s="184">
        <f t="shared" si="6"/>
        <v>0</v>
      </c>
      <c r="AI19" s="320"/>
      <c r="AJ19" s="184">
        <f t="shared" si="6"/>
        <v>0</v>
      </c>
      <c r="AK19" s="184"/>
      <c r="AL19" s="184"/>
      <c r="AM19" s="184"/>
      <c r="AN19" s="184"/>
      <c r="AO19" s="184"/>
      <c r="AP19" s="184"/>
      <c r="AQ19" s="184"/>
      <c r="AR19" s="184">
        <f t="shared" ref="AR19:AV19" si="7">AR36</f>
        <v>0</v>
      </c>
      <c r="AS19" s="184">
        <f t="shared" si="7"/>
        <v>0</v>
      </c>
      <c r="AT19" s="184">
        <f t="shared" si="7"/>
        <v>0</v>
      </c>
      <c r="AU19" s="184">
        <f t="shared" si="7"/>
        <v>0</v>
      </c>
      <c r="AV19" s="184">
        <f t="shared" si="7"/>
        <v>0</v>
      </c>
      <c r="AW19" s="473"/>
      <c r="AX19" s="473">
        <f t="shared" ref="AX19" si="8">AX36</f>
        <v>0</v>
      </c>
      <c r="AY19" s="184"/>
      <c r="AZ19" s="184"/>
      <c r="BA19" s="184"/>
      <c r="BB19" s="184"/>
      <c r="BC19" s="184"/>
      <c r="BD19" s="184"/>
      <c r="BE19" s="184"/>
      <c r="BF19" s="184">
        <f t="shared" ref="BF19:BL19" si="9">BF36</f>
        <v>0</v>
      </c>
      <c r="BG19" s="184">
        <f t="shared" si="9"/>
        <v>0</v>
      </c>
      <c r="BH19" s="184">
        <f t="shared" si="9"/>
        <v>0</v>
      </c>
      <c r="BI19" s="184">
        <f t="shared" si="9"/>
        <v>0</v>
      </c>
      <c r="BJ19" s="184">
        <f t="shared" si="9"/>
        <v>0</v>
      </c>
      <c r="BK19" s="473"/>
      <c r="BL19" s="473">
        <f t="shared" si="9"/>
        <v>0</v>
      </c>
      <c r="BM19" s="184"/>
      <c r="BN19" s="184"/>
      <c r="BO19" s="184"/>
      <c r="BP19" s="184"/>
      <c r="BQ19" s="184"/>
      <c r="BR19" s="184"/>
      <c r="BS19" s="184"/>
      <c r="BT19" s="184">
        <f t="shared" ref="BT19:BX19" si="10">BT36</f>
        <v>0</v>
      </c>
      <c r="BU19" s="184">
        <f t="shared" si="10"/>
        <v>0</v>
      </c>
      <c r="BV19" s="184">
        <f t="shared" si="10"/>
        <v>0</v>
      </c>
      <c r="BW19" s="184">
        <f t="shared" si="10"/>
        <v>0</v>
      </c>
      <c r="BX19" s="184">
        <f t="shared" si="10"/>
        <v>0</v>
      </c>
      <c r="BY19" s="473"/>
      <c r="BZ19" s="184">
        <f t="shared" ref="BZ19" si="11">BZ36</f>
        <v>0</v>
      </c>
      <c r="CA19" s="184"/>
      <c r="CB19" s="184"/>
      <c r="CC19" s="184"/>
      <c r="CD19" s="184"/>
      <c r="CE19" s="184"/>
      <c r="CF19" s="184"/>
      <c r="CG19" s="184"/>
      <c r="CH19" s="211"/>
    </row>
    <row r="20" spans="1:86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463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463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475"/>
      <c r="AX20" s="475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475"/>
      <c r="BL20" s="475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475"/>
      <c r="BZ20" s="191"/>
      <c r="CA20" s="191"/>
      <c r="CB20" s="191"/>
      <c r="CC20" s="191"/>
      <c r="CD20" s="191"/>
      <c r="CE20" s="191"/>
      <c r="CF20" s="191"/>
      <c r="CG20" s="191"/>
      <c r="CH20" s="210"/>
    </row>
    <row r="21" spans="1:86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321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321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474"/>
      <c r="AX21" s="474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474"/>
      <c r="BL21" s="474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474"/>
      <c r="BZ21" s="187"/>
      <c r="CA21" s="187"/>
      <c r="CB21" s="187"/>
      <c r="CC21" s="187"/>
      <c r="CD21" s="187"/>
      <c r="CE21" s="187"/>
      <c r="CF21" s="187"/>
      <c r="CG21" s="187"/>
      <c r="CH21" s="213"/>
    </row>
    <row r="22" spans="1:86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321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321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474"/>
      <c r="AX22" s="474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474"/>
      <c r="BL22" s="474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474"/>
      <c r="BZ22" s="187"/>
      <c r="CA22" s="187"/>
      <c r="CB22" s="187"/>
      <c r="CC22" s="187"/>
      <c r="CD22" s="187"/>
      <c r="CE22" s="187"/>
      <c r="CF22" s="187"/>
      <c r="CG22" s="187"/>
      <c r="CH22" s="213"/>
    </row>
    <row r="23" spans="1:86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321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321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474"/>
      <c r="AX23" s="474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474"/>
      <c r="BL23" s="474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474"/>
      <c r="BZ23" s="187"/>
      <c r="CA23" s="187"/>
      <c r="CB23" s="187"/>
      <c r="CC23" s="187"/>
      <c r="CD23" s="187"/>
      <c r="CE23" s="187"/>
      <c r="CF23" s="187"/>
      <c r="CG23" s="187"/>
      <c r="CH23" s="213"/>
    </row>
    <row r="24" spans="1:86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463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463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475"/>
      <c r="AX24" s="475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475"/>
      <c r="BL24" s="475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475"/>
      <c r="BZ24" s="191"/>
      <c r="CA24" s="191"/>
      <c r="CB24" s="191"/>
      <c r="CC24" s="191"/>
      <c r="CD24" s="191"/>
      <c r="CE24" s="191"/>
      <c r="CF24" s="191"/>
      <c r="CG24" s="191"/>
      <c r="CH24" s="210"/>
    </row>
    <row r="25" spans="1:86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321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321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474"/>
      <c r="AX25" s="474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474"/>
      <c r="BL25" s="474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474"/>
      <c r="BZ25" s="187"/>
      <c r="CA25" s="187"/>
      <c r="CB25" s="187"/>
      <c r="CC25" s="187"/>
      <c r="CD25" s="187"/>
      <c r="CE25" s="187"/>
      <c r="CF25" s="187"/>
      <c r="CG25" s="187"/>
      <c r="CH25" s="213"/>
    </row>
    <row r="26" spans="1:86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321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321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474"/>
      <c r="AX26" s="474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474"/>
      <c r="BL26" s="474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474"/>
      <c r="BZ26" s="187"/>
      <c r="CA26" s="187"/>
      <c r="CB26" s="187"/>
      <c r="CC26" s="187"/>
      <c r="CD26" s="187"/>
      <c r="CE26" s="187"/>
      <c r="CF26" s="187"/>
      <c r="CG26" s="187"/>
      <c r="CH26" s="213"/>
    </row>
    <row r="27" spans="1:86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463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463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475"/>
      <c r="AX27" s="475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475"/>
      <c r="BL27" s="475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475"/>
      <c r="BZ27" s="191"/>
      <c r="CA27" s="191"/>
      <c r="CB27" s="191"/>
      <c r="CC27" s="191"/>
      <c r="CD27" s="191"/>
      <c r="CE27" s="191"/>
      <c r="CF27" s="191"/>
      <c r="CG27" s="191"/>
      <c r="CH27" s="210"/>
    </row>
    <row r="28" spans="1:86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321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321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474"/>
      <c r="AX28" s="474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474"/>
      <c r="BL28" s="474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474"/>
      <c r="BZ28" s="187"/>
      <c r="CA28" s="187"/>
      <c r="CB28" s="187"/>
      <c r="CC28" s="187"/>
      <c r="CD28" s="187"/>
      <c r="CE28" s="187"/>
      <c r="CF28" s="187"/>
      <c r="CG28" s="187"/>
      <c r="CH28" s="213"/>
    </row>
    <row r="29" spans="1:86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321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321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474"/>
      <c r="AX29" s="474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474"/>
      <c r="BL29" s="474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474"/>
      <c r="BZ29" s="187"/>
      <c r="CA29" s="187"/>
      <c r="CB29" s="187"/>
      <c r="CC29" s="187"/>
      <c r="CD29" s="187"/>
      <c r="CE29" s="187"/>
      <c r="CF29" s="187"/>
      <c r="CG29" s="187"/>
      <c r="CH29" s="213"/>
    </row>
    <row r="30" spans="1:86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321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321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474"/>
      <c r="AX30" s="474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474"/>
      <c r="BL30" s="474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474"/>
      <c r="BZ30" s="187"/>
      <c r="CA30" s="187"/>
      <c r="CB30" s="187"/>
      <c r="CC30" s="187"/>
      <c r="CD30" s="187"/>
      <c r="CE30" s="187"/>
      <c r="CF30" s="187"/>
      <c r="CG30" s="187"/>
      <c r="CH30" s="213"/>
    </row>
    <row r="31" spans="1:86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321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321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474"/>
      <c r="AX31" s="474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474"/>
      <c r="BL31" s="474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474"/>
      <c r="BZ31" s="187"/>
      <c r="CA31" s="187"/>
      <c r="CB31" s="187"/>
      <c r="CC31" s="187"/>
      <c r="CD31" s="187"/>
      <c r="CE31" s="187"/>
      <c r="CF31" s="187"/>
      <c r="CG31" s="187"/>
      <c r="CH31" s="213"/>
    </row>
    <row r="32" spans="1:86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321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321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474"/>
      <c r="AX32" s="474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474"/>
      <c r="BL32" s="474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474"/>
      <c r="BZ32" s="187"/>
      <c r="CA32" s="187"/>
      <c r="CB32" s="187"/>
      <c r="CC32" s="187"/>
      <c r="CD32" s="187"/>
      <c r="CE32" s="187"/>
      <c r="CF32" s="187"/>
      <c r="CG32" s="187"/>
      <c r="CH32" s="213"/>
    </row>
    <row r="33" spans="1:86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321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321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474"/>
      <c r="AX33" s="474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474"/>
      <c r="BL33" s="474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474"/>
      <c r="BZ33" s="187"/>
      <c r="CA33" s="187"/>
      <c r="CB33" s="187"/>
      <c r="CC33" s="187"/>
      <c r="CD33" s="187"/>
      <c r="CE33" s="187"/>
      <c r="CF33" s="187"/>
      <c r="CG33" s="187"/>
      <c r="CH33" s="213"/>
    </row>
    <row r="34" spans="1:86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321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321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474"/>
      <c r="AX34" s="474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474"/>
      <c r="BL34" s="474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474"/>
      <c r="BZ34" s="187"/>
      <c r="CA34" s="187"/>
      <c r="CB34" s="187"/>
      <c r="CC34" s="187"/>
      <c r="CD34" s="187"/>
      <c r="CE34" s="187"/>
      <c r="CF34" s="187"/>
      <c r="CG34" s="187"/>
      <c r="CH34" s="213"/>
    </row>
    <row r="35" spans="1:86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321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321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474"/>
      <c r="AX35" s="474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474"/>
      <c r="BL35" s="474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474"/>
      <c r="BZ35" s="187"/>
      <c r="CA35" s="187"/>
      <c r="CB35" s="187"/>
      <c r="CC35" s="187"/>
      <c r="CD35" s="187"/>
      <c r="CE35" s="187"/>
      <c r="CF35" s="187"/>
      <c r="CG35" s="187"/>
      <c r="CH35" s="213"/>
    </row>
    <row r="36" spans="1:86" s="196" customFormat="1" ht="63" collapsed="1" x14ac:dyDescent="0.25">
      <c r="A36" s="194" t="s">
        <v>39</v>
      </c>
      <c r="B36" s="65" t="s">
        <v>40</v>
      </c>
      <c r="C36" s="195">
        <v>0</v>
      </c>
      <c r="D36" s="195" t="e">
        <f>#REF!</f>
        <v>#REF!</v>
      </c>
      <c r="E36" s="195" t="e">
        <f>#REF!</f>
        <v>#REF!</v>
      </c>
      <c r="F36" s="195" t="e">
        <f>#REF!</f>
        <v>#REF!</v>
      </c>
      <c r="G36" s="195" t="e">
        <f>#REF!</f>
        <v>#REF!</v>
      </c>
      <c r="H36" s="195" t="e">
        <f>#REF!</f>
        <v>#REF!</v>
      </c>
      <c r="I36" s="195" t="e">
        <f>#REF!</f>
        <v>#REF!</v>
      </c>
      <c r="J36" s="195" t="e">
        <f>#REF!</f>
        <v>#REF!</v>
      </c>
      <c r="K36" s="195" t="e">
        <f>#REF!</f>
        <v>#REF!</v>
      </c>
      <c r="L36" s="195" t="e">
        <f>#REF!</f>
        <v>#REF!</v>
      </c>
      <c r="M36" s="195" t="e">
        <f>#REF!</f>
        <v>#REF!</v>
      </c>
      <c r="N36" s="195" t="e">
        <f>#REF!</f>
        <v>#REF!</v>
      </c>
      <c r="O36" s="195" t="e">
        <f>#REF!</f>
        <v>#REF!</v>
      </c>
      <c r="P36" s="195">
        <v>0</v>
      </c>
      <c r="Q36" s="195"/>
      <c r="R36" s="195"/>
      <c r="S36" s="195"/>
      <c r="T36" s="195"/>
      <c r="U36" s="318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318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332"/>
      <c r="AX36" s="332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332"/>
      <c r="BL36" s="332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332"/>
      <c r="BZ36" s="195"/>
      <c r="CA36" s="195"/>
      <c r="CB36" s="195"/>
      <c r="CC36" s="195"/>
      <c r="CD36" s="195"/>
      <c r="CE36" s="195"/>
      <c r="CF36" s="195"/>
      <c r="CG36" s="195"/>
      <c r="CH36" s="209"/>
    </row>
    <row r="37" spans="1:86" s="193" customFormat="1" ht="47.25" hidden="1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463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463"/>
      <c r="AJ37" s="191"/>
      <c r="AK37" s="191"/>
      <c r="AL37" s="191"/>
      <c r="AM37" s="191"/>
      <c r="AN37" s="191"/>
      <c r="AO37" s="191"/>
      <c r="AP37" s="191"/>
      <c r="AQ37" s="210"/>
      <c r="AR37" s="210"/>
      <c r="AS37" s="210"/>
      <c r="AT37" s="210"/>
      <c r="AU37" s="210"/>
      <c r="AV37" s="210"/>
      <c r="AW37" s="475"/>
      <c r="AX37" s="475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475"/>
      <c r="BL37" s="475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475"/>
      <c r="BZ37" s="210"/>
      <c r="CA37" s="210"/>
      <c r="CB37" s="210"/>
      <c r="CC37" s="210"/>
      <c r="CD37" s="210"/>
      <c r="CE37" s="210"/>
      <c r="CF37" s="210"/>
      <c r="CG37" s="210"/>
      <c r="CH37" s="210"/>
    </row>
    <row r="38" spans="1:86" s="185" customFormat="1" ht="31.5" x14ac:dyDescent="0.25">
      <c r="A38" s="183" t="s">
        <v>42</v>
      </c>
      <c r="B38" s="64" t="s">
        <v>43</v>
      </c>
      <c r="C38" s="184">
        <v>0</v>
      </c>
      <c r="D38" s="184">
        <f t="shared" ref="D38:O38" si="12">D39+D45+D52</f>
        <v>0</v>
      </c>
      <c r="E38" s="184">
        <f t="shared" si="12"/>
        <v>0</v>
      </c>
      <c r="F38" s="184">
        <f t="shared" si="12"/>
        <v>0</v>
      </c>
      <c r="G38" s="184">
        <f t="shared" si="12"/>
        <v>0</v>
      </c>
      <c r="H38" s="184">
        <f t="shared" si="12"/>
        <v>0</v>
      </c>
      <c r="I38" s="184">
        <f t="shared" si="12"/>
        <v>0</v>
      </c>
      <c r="J38" s="184">
        <f t="shared" si="12"/>
        <v>0</v>
      </c>
      <c r="K38" s="184">
        <f t="shared" si="12"/>
        <v>0</v>
      </c>
      <c r="L38" s="184">
        <f t="shared" si="12"/>
        <v>0</v>
      </c>
      <c r="M38" s="184">
        <f t="shared" si="12"/>
        <v>0</v>
      </c>
      <c r="N38" s="184">
        <f t="shared" si="12"/>
        <v>0</v>
      </c>
      <c r="O38" s="184">
        <f t="shared" si="12"/>
        <v>0</v>
      </c>
      <c r="P38" s="184"/>
      <c r="Q38" s="184">
        <f>Q39+Q45+Q52</f>
        <v>0</v>
      </c>
      <c r="R38" s="184">
        <f t="shared" ref="R38:CC38" si="13">R39+R45+R52</f>
        <v>0</v>
      </c>
      <c r="S38" s="184">
        <f t="shared" si="13"/>
        <v>0</v>
      </c>
      <c r="T38" s="184">
        <f t="shared" si="13"/>
        <v>6.4</v>
      </c>
      <c r="U38" s="320">
        <f t="shared" si="13"/>
        <v>347</v>
      </c>
      <c r="V38" s="184">
        <f t="shared" si="13"/>
        <v>0</v>
      </c>
      <c r="W38" s="184">
        <f t="shared" si="13"/>
        <v>0</v>
      </c>
      <c r="X38" s="184">
        <f t="shared" si="13"/>
        <v>0</v>
      </c>
      <c r="Y38" s="184">
        <f t="shared" si="13"/>
        <v>0</v>
      </c>
      <c r="Z38" s="184">
        <f t="shared" si="13"/>
        <v>0</v>
      </c>
      <c r="AA38" s="184">
        <f t="shared" si="13"/>
        <v>0</v>
      </c>
      <c r="AB38" s="184">
        <f t="shared" si="13"/>
        <v>0</v>
      </c>
      <c r="AC38" s="184">
        <f t="shared" si="13"/>
        <v>0</v>
      </c>
      <c r="AD38" s="184">
        <f t="shared" si="13"/>
        <v>0</v>
      </c>
      <c r="AE38" s="184">
        <f t="shared" si="13"/>
        <v>0</v>
      </c>
      <c r="AF38" s="184">
        <f t="shared" si="13"/>
        <v>0</v>
      </c>
      <c r="AG38" s="184">
        <f t="shared" si="13"/>
        <v>3.95</v>
      </c>
      <c r="AH38" s="184">
        <f t="shared" si="13"/>
        <v>0.25</v>
      </c>
      <c r="AI38" s="320">
        <f t="shared" si="13"/>
        <v>287</v>
      </c>
      <c r="AJ38" s="184">
        <f t="shared" si="13"/>
        <v>0</v>
      </c>
      <c r="AK38" s="184">
        <f t="shared" si="13"/>
        <v>0</v>
      </c>
      <c r="AL38" s="184">
        <f t="shared" si="13"/>
        <v>0</v>
      </c>
      <c r="AM38" s="184">
        <f t="shared" si="13"/>
        <v>0</v>
      </c>
      <c r="AN38" s="184">
        <f t="shared" si="13"/>
        <v>0</v>
      </c>
      <c r="AO38" s="184">
        <f t="shared" si="13"/>
        <v>0</v>
      </c>
      <c r="AP38" s="184">
        <f t="shared" si="13"/>
        <v>0</v>
      </c>
      <c r="AQ38" s="184">
        <f t="shared" si="13"/>
        <v>0</v>
      </c>
      <c r="AR38" s="184">
        <f t="shared" si="13"/>
        <v>0</v>
      </c>
      <c r="AS38" s="184">
        <f t="shared" si="13"/>
        <v>0</v>
      </c>
      <c r="AT38" s="184">
        <f t="shared" si="13"/>
        <v>0</v>
      </c>
      <c r="AU38" s="184">
        <f t="shared" si="13"/>
        <v>1.5659999999999998</v>
      </c>
      <c r="AV38" s="184">
        <f t="shared" si="13"/>
        <v>0</v>
      </c>
      <c r="AW38" s="473">
        <f t="shared" si="13"/>
        <v>171</v>
      </c>
      <c r="AX38" s="473">
        <f t="shared" si="13"/>
        <v>0</v>
      </c>
      <c r="AY38" s="184">
        <f t="shared" si="13"/>
        <v>0</v>
      </c>
      <c r="AZ38" s="184">
        <f t="shared" si="13"/>
        <v>0</v>
      </c>
      <c r="BA38" s="184">
        <f t="shared" si="13"/>
        <v>0</v>
      </c>
      <c r="BB38" s="184">
        <f t="shared" si="13"/>
        <v>0</v>
      </c>
      <c r="BC38" s="184">
        <f t="shared" si="13"/>
        <v>0</v>
      </c>
      <c r="BD38" s="184">
        <f t="shared" si="13"/>
        <v>0</v>
      </c>
      <c r="BE38" s="184">
        <f t="shared" si="13"/>
        <v>0</v>
      </c>
      <c r="BF38" s="184">
        <f t="shared" si="13"/>
        <v>0</v>
      </c>
      <c r="BG38" s="184">
        <f t="shared" si="13"/>
        <v>0</v>
      </c>
      <c r="BH38" s="184">
        <f t="shared" si="13"/>
        <v>0</v>
      </c>
      <c r="BI38" s="184">
        <f t="shared" si="13"/>
        <v>2.0659999999999998</v>
      </c>
      <c r="BJ38" s="184">
        <f t="shared" si="13"/>
        <v>0.66</v>
      </c>
      <c r="BK38" s="473">
        <f t="shared" si="13"/>
        <v>201</v>
      </c>
      <c r="BL38" s="473">
        <f t="shared" si="13"/>
        <v>0</v>
      </c>
      <c r="BM38" s="184">
        <f t="shared" si="13"/>
        <v>0</v>
      </c>
      <c r="BN38" s="184">
        <f t="shared" si="13"/>
        <v>0</v>
      </c>
      <c r="BO38" s="184">
        <f t="shared" si="13"/>
        <v>0</v>
      </c>
      <c r="BP38" s="184">
        <f t="shared" si="13"/>
        <v>0</v>
      </c>
      <c r="BQ38" s="184">
        <f t="shared" si="13"/>
        <v>0</v>
      </c>
      <c r="BR38" s="184">
        <f t="shared" si="13"/>
        <v>0</v>
      </c>
      <c r="BS38" s="184">
        <f t="shared" si="13"/>
        <v>0</v>
      </c>
      <c r="BT38" s="184">
        <f t="shared" si="13"/>
        <v>0</v>
      </c>
      <c r="BU38" s="184">
        <f t="shared" si="13"/>
        <v>0</v>
      </c>
      <c r="BV38" s="184">
        <f t="shared" si="13"/>
        <v>0</v>
      </c>
      <c r="BW38" s="184">
        <f t="shared" si="13"/>
        <v>0</v>
      </c>
      <c r="BX38" s="184">
        <f t="shared" si="13"/>
        <v>0</v>
      </c>
      <c r="BY38" s="473">
        <f t="shared" si="13"/>
        <v>213</v>
      </c>
      <c r="BZ38" s="184">
        <f t="shared" si="13"/>
        <v>0</v>
      </c>
      <c r="CA38" s="184">
        <f t="shared" si="13"/>
        <v>0</v>
      </c>
      <c r="CB38" s="184">
        <f t="shared" si="13"/>
        <v>0</v>
      </c>
      <c r="CC38" s="184">
        <f t="shared" si="13"/>
        <v>0</v>
      </c>
      <c r="CD38" s="184">
        <f t="shared" ref="CD38:CH38" si="14">CD39+CD45+CD52</f>
        <v>0</v>
      </c>
      <c r="CE38" s="184">
        <f t="shared" si="14"/>
        <v>0</v>
      </c>
      <c r="CF38" s="184">
        <f t="shared" si="14"/>
        <v>0</v>
      </c>
      <c r="CG38" s="184">
        <f t="shared" si="14"/>
        <v>0</v>
      </c>
      <c r="CH38" s="184">
        <f t="shared" si="14"/>
        <v>0</v>
      </c>
    </row>
    <row r="39" spans="1:86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0</v>
      </c>
      <c r="E39" s="195">
        <f t="shared" ref="E39:P40" si="15">E40</f>
        <v>0</v>
      </c>
      <c r="F39" s="195">
        <f t="shared" si="15"/>
        <v>0</v>
      </c>
      <c r="G39" s="195">
        <f t="shared" si="15"/>
        <v>0</v>
      </c>
      <c r="H39" s="195">
        <f t="shared" si="15"/>
        <v>0</v>
      </c>
      <c r="I39" s="195">
        <f t="shared" si="15"/>
        <v>0</v>
      </c>
      <c r="J39" s="195">
        <f t="shared" si="15"/>
        <v>0</v>
      </c>
      <c r="K39" s="195">
        <f t="shared" si="15"/>
        <v>0</v>
      </c>
      <c r="L39" s="195">
        <f t="shared" si="15"/>
        <v>0</v>
      </c>
      <c r="M39" s="195">
        <f t="shared" si="15"/>
        <v>0</v>
      </c>
      <c r="N39" s="195">
        <f t="shared" si="15"/>
        <v>0</v>
      </c>
      <c r="O39" s="195">
        <f t="shared" si="15"/>
        <v>0</v>
      </c>
      <c r="P39" s="195" t="str">
        <f t="shared" si="15"/>
        <v>IV</v>
      </c>
      <c r="Q39" s="195">
        <f>Q40</f>
        <v>0</v>
      </c>
      <c r="R39" s="195">
        <f t="shared" ref="R39:CC39" si="16">R40</f>
        <v>0</v>
      </c>
      <c r="S39" s="195">
        <f t="shared" si="16"/>
        <v>0</v>
      </c>
      <c r="T39" s="195">
        <f t="shared" si="16"/>
        <v>6.4</v>
      </c>
      <c r="U39" s="195">
        <f t="shared" si="16"/>
        <v>0</v>
      </c>
      <c r="V39" s="195">
        <f t="shared" si="16"/>
        <v>0</v>
      </c>
      <c r="W39" s="195">
        <f t="shared" si="16"/>
        <v>0</v>
      </c>
      <c r="X39" s="195">
        <f t="shared" si="16"/>
        <v>0</v>
      </c>
      <c r="Y39" s="195">
        <f t="shared" si="16"/>
        <v>0</v>
      </c>
      <c r="Z39" s="195">
        <f t="shared" si="16"/>
        <v>0</v>
      </c>
      <c r="AA39" s="195">
        <f t="shared" si="16"/>
        <v>0</v>
      </c>
      <c r="AB39" s="195">
        <f t="shared" si="16"/>
        <v>0</v>
      </c>
      <c r="AC39" s="195">
        <f t="shared" si="16"/>
        <v>0</v>
      </c>
      <c r="AD39" s="195">
        <f t="shared" si="16"/>
        <v>0</v>
      </c>
      <c r="AE39" s="195">
        <f t="shared" si="16"/>
        <v>0</v>
      </c>
      <c r="AF39" s="195">
        <f t="shared" si="16"/>
        <v>0</v>
      </c>
      <c r="AG39" s="195">
        <f t="shared" si="16"/>
        <v>0</v>
      </c>
      <c r="AH39" s="195">
        <f t="shared" si="16"/>
        <v>0</v>
      </c>
      <c r="AI39" s="318">
        <f t="shared" si="16"/>
        <v>0</v>
      </c>
      <c r="AJ39" s="195">
        <f t="shared" si="16"/>
        <v>0</v>
      </c>
      <c r="AK39" s="195">
        <f t="shared" si="16"/>
        <v>0</v>
      </c>
      <c r="AL39" s="195">
        <f t="shared" si="16"/>
        <v>0</v>
      </c>
      <c r="AM39" s="195">
        <f t="shared" si="16"/>
        <v>0</v>
      </c>
      <c r="AN39" s="195">
        <f t="shared" si="16"/>
        <v>0</v>
      </c>
      <c r="AO39" s="195">
        <f t="shared" si="16"/>
        <v>0</v>
      </c>
      <c r="AP39" s="195">
        <f t="shared" si="16"/>
        <v>0</v>
      </c>
      <c r="AQ39" s="195">
        <f t="shared" si="16"/>
        <v>0</v>
      </c>
      <c r="AR39" s="195">
        <f t="shared" si="16"/>
        <v>0</v>
      </c>
      <c r="AS39" s="195">
        <f t="shared" si="16"/>
        <v>0</v>
      </c>
      <c r="AT39" s="195">
        <f t="shared" si="16"/>
        <v>0</v>
      </c>
      <c r="AU39" s="195">
        <f t="shared" si="16"/>
        <v>0</v>
      </c>
      <c r="AV39" s="195">
        <f t="shared" si="16"/>
        <v>0</v>
      </c>
      <c r="AW39" s="332">
        <f t="shared" si="16"/>
        <v>0</v>
      </c>
      <c r="AX39" s="332">
        <f t="shared" si="16"/>
        <v>0</v>
      </c>
      <c r="AY39" s="195">
        <f t="shared" si="16"/>
        <v>0</v>
      </c>
      <c r="AZ39" s="195">
        <f t="shared" si="16"/>
        <v>0</v>
      </c>
      <c r="BA39" s="195">
        <f t="shared" si="16"/>
        <v>0</v>
      </c>
      <c r="BB39" s="195">
        <f t="shared" si="16"/>
        <v>0</v>
      </c>
      <c r="BC39" s="195">
        <f t="shared" si="16"/>
        <v>0</v>
      </c>
      <c r="BD39" s="195">
        <f t="shared" si="16"/>
        <v>0</v>
      </c>
      <c r="BE39" s="195">
        <f t="shared" si="16"/>
        <v>0</v>
      </c>
      <c r="BF39" s="195">
        <f t="shared" si="16"/>
        <v>0</v>
      </c>
      <c r="BG39" s="195">
        <f t="shared" si="16"/>
        <v>0</v>
      </c>
      <c r="BH39" s="195">
        <f t="shared" si="16"/>
        <v>0</v>
      </c>
      <c r="BI39" s="195">
        <f t="shared" si="16"/>
        <v>0</v>
      </c>
      <c r="BJ39" s="195">
        <f t="shared" si="16"/>
        <v>0.5</v>
      </c>
      <c r="BK39" s="332">
        <f t="shared" si="16"/>
        <v>0</v>
      </c>
      <c r="BL39" s="332">
        <f t="shared" si="16"/>
        <v>0</v>
      </c>
      <c r="BM39" s="195">
        <f t="shared" si="16"/>
        <v>0</v>
      </c>
      <c r="BN39" s="195">
        <f t="shared" si="16"/>
        <v>0</v>
      </c>
      <c r="BO39" s="195">
        <f t="shared" si="16"/>
        <v>0</v>
      </c>
      <c r="BP39" s="195">
        <f t="shared" si="16"/>
        <v>0</v>
      </c>
      <c r="BQ39" s="195">
        <f t="shared" si="16"/>
        <v>0</v>
      </c>
      <c r="BR39" s="195">
        <f t="shared" si="16"/>
        <v>0</v>
      </c>
      <c r="BS39" s="195">
        <f t="shared" si="16"/>
        <v>0</v>
      </c>
      <c r="BT39" s="195">
        <f t="shared" si="16"/>
        <v>0</v>
      </c>
      <c r="BU39" s="195">
        <f t="shared" si="16"/>
        <v>0</v>
      </c>
      <c r="BV39" s="195">
        <f t="shared" si="16"/>
        <v>0</v>
      </c>
      <c r="BW39" s="195">
        <f t="shared" si="16"/>
        <v>0</v>
      </c>
      <c r="BX39" s="195">
        <f t="shared" si="16"/>
        <v>0</v>
      </c>
      <c r="BY39" s="332">
        <f t="shared" si="16"/>
        <v>0</v>
      </c>
      <c r="BZ39" s="195">
        <f t="shared" si="16"/>
        <v>0</v>
      </c>
      <c r="CA39" s="195">
        <f t="shared" si="16"/>
        <v>0</v>
      </c>
      <c r="CB39" s="195">
        <f t="shared" si="16"/>
        <v>0</v>
      </c>
      <c r="CC39" s="195">
        <f t="shared" si="16"/>
        <v>0</v>
      </c>
      <c r="CD39" s="195">
        <f t="shared" ref="CD39:CH39" si="17">CD40</f>
        <v>0</v>
      </c>
      <c r="CE39" s="195">
        <f t="shared" si="17"/>
        <v>0</v>
      </c>
      <c r="CF39" s="195">
        <f t="shared" si="17"/>
        <v>0</v>
      </c>
      <c r="CG39" s="195">
        <f t="shared" si="17"/>
        <v>0</v>
      </c>
      <c r="CH39" s="195">
        <f t="shared" si="17"/>
        <v>0</v>
      </c>
    </row>
    <row r="40" spans="1:86" s="200" customFormat="1" ht="31.5" x14ac:dyDescent="0.25">
      <c r="A40" s="197" t="s">
        <v>44</v>
      </c>
      <c r="B40" s="11" t="s">
        <v>45</v>
      </c>
      <c r="C40" s="198">
        <v>0</v>
      </c>
      <c r="D40" s="198">
        <f>D41</f>
        <v>0</v>
      </c>
      <c r="E40" s="198">
        <f t="shared" si="15"/>
        <v>0</v>
      </c>
      <c r="F40" s="198">
        <f t="shared" si="15"/>
        <v>0</v>
      </c>
      <c r="G40" s="198">
        <f t="shared" si="15"/>
        <v>0</v>
      </c>
      <c r="H40" s="198">
        <f t="shared" si="15"/>
        <v>0</v>
      </c>
      <c r="I40" s="198">
        <f t="shared" si="15"/>
        <v>0</v>
      </c>
      <c r="J40" s="198">
        <f t="shared" si="15"/>
        <v>0</v>
      </c>
      <c r="K40" s="198">
        <f t="shared" si="15"/>
        <v>0</v>
      </c>
      <c r="L40" s="198">
        <f t="shared" si="15"/>
        <v>0</v>
      </c>
      <c r="M40" s="198">
        <f t="shared" si="15"/>
        <v>0</v>
      </c>
      <c r="N40" s="198">
        <f t="shared" si="15"/>
        <v>0</v>
      </c>
      <c r="O40" s="198">
        <f t="shared" si="15"/>
        <v>0</v>
      </c>
      <c r="P40" s="198" t="str">
        <f t="shared" si="15"/>
        <v>IV</v>
      </c>
      <c r="Q40" s="198">
        <f>SUM(Q41:Q43)</f>
        <v>0</v>
      </c>
      <c r="R40" s="198">
        <f t="shared" ref="R40:CC40" si="18">SUM(R41:R43)</f>
        <v>0</v>
      </c>
      <c r="S40" s="198">
        <f t="shared" si="18"/>
        <v>0</v>
      </c>
      <c r="T40" s="198">
        <f t="shared" si="18"/>
        <v>6.4</v>
      </c>
      <c r="U40" s="198">
        <f t="shared" si="18"/>
        <v>0</v>
      </c>
      <c r="V40" s="198">
        <f t="shared" si="18"/>
        <v>0</v>
      </c>
      <c r="W40" s="198">
        <f t="shared" si="18"/>
        <v>0</v>
      </c>
      <c r="X40" s="198">
        <f t="shared" si="18"/>
        <v>0</v>
      </c>
      <c r="Y40" s="198">
        <f t="shared" si="18"/>
        <v>0</v>
      </c>
      <c r="Z40" s="198">
        <f t="shared" si="18"/>
        <v>0</v>
      </c>
      <c r="AA40" s="198">
        <f t="shared" si="18"/>
        <v>0</v>
      </c>
      <c r="AB40" s="198">
        <f t="shared" si="18"/>
        <v>0</v>
      </c>
      <c r="AC40" s="198">
        <f t="shared" si="18"/>
        <v>0</v>
      </c>
      <c r="AD40" s="198">
        <f t="shared" si="18"/>
        <v>0</v>
      </c>
      <c r="AE40" s="198">
        <f t="shared" si="18"/>
        <v>0</v>
      </c>
      <c r="AF40" s="198">
        <f t="shared" si="18"/>
        <v>0</v>
      </c>
      <c r="AG40" s="198">
        <f t="shared" si="18"/>
        <v>0</v>
      </c>
      <c r="AH40" s="198">
        <f t="shared" si="18"/>
        <v>0</v>
      </c>
      <c r="AI40" s="319">
        <f t="shared" si="18"/>
        <v>0</v>
      </c>
      <c r="AJ40" s="198">
        <f t="shared" si="18"/>
        <v>0</v>
      </c>
      <c r="AK40" s="198">
        <f t="shared" si="18"/>
        <v>0</v>
      </c>
      <c r="AL40" s="198">
        <f t="shared" si="18"/>
        <v>0</v>
      </c>
      <c r="AM40" s="198">
        <f t="shared" si="18"/>
        <v>0</v>
      </c>
      <c r="AN40" s="198">
        <f t="shared" si="18"/>
        <v>0</v>
      </c>
      <c r="AO40" s="198">
        <f t="shared" si="18"/>
        <v>0</v>
      </c>
      <c r="AP40" s="198">
        <f t="shared" si="18"/>
        <v>0</v>
      </c>
      <c r="AQ40" s="198">
        <f t="shared" si="18"/>
        <v>0</v>
      </c>
      <c r="AR40" s="198">
        <f t="shared" si="18"/>
        <v>0</v>
      </c>
      <c r="AS40" s="198">
        <f t="shared" si="18"/>
        <v>0</v>
      </c>
      <c r="AT40" s="198">
        <f t="shared" si="18"/>
        <v>0</v>
      </c>
      <c r="AU40" s="198">
        <f t="shared" si="18"/>
        <v>0</v>
      </c>
      <c r="AV40" s="198">
        <f t="shared" si="18"/>
        <v>0</v>
      </c>
      <c r="AW40" s="333">
        <f t="shared" si="18"/>
        <v>0</v>
      </c>
      <c r="AX40" s="333">
        <f t="shared" si="18"/>
        <v>0</v>
      </c>
      <c r="AY40" s="198">
        <f t="shared" si="18"/>
        <v>0</v>
      </c>
      <c r="AZ40" s="198">
        <f t="shared" si="18"/>
        <v>0</v>
      </c>
      <c r="BA40" s="198">
        <f t="shared" si="18"/>
        <v>0</v>
      </c>
      <c r="BB40" s="198">
        <f t="shared" si="18"/>
        <v>0</v>
      </c>
      <c r="BC40" s="198">
        <f t="shared" si="18"/>
        <v>0</v>
      </c>
      <c r="BD40" s="198">
        <f t="shared" si="18"/>
        <v>0</v>
      </c>
      <c r="BE40" s="198">
        <f t="shared" si="18"/>
        <v>0</v>
      </c>
      <c r="BF40" s="198">
        <f t="shared" si="18"/>
        <v>0</v>
      </c>
      <c r="BG40" s="198">
        <f t="shared" si="18"/>
        <v>0</v>
      </c>
      <c r="BH40" s="198">
        <f t="shared" si="18"/>
        <v>0</v>
      </c>
      <c r="BI40" s="198">
        <f t="shared" si="18"/>
        <v>0</v>
      </c>
      <c r="BJ40" s="198">
        <f t="shared" si="18"/>
        <v>0.5</v>
      </c>
      <c r="BK40" s="333">
        <f t="shared" si="18"/>
        <v>0</v>
      </c>
      <c r="BL40" s="333">
        <f t="shared" si="18"/>
        <v>0</v>
      </c>
      <c r="BM40" s="198">
        <f t="shared" si="18"/>
        <v>0</v>
      </c>
      <c r="BN40" s="198">
        <f t="shared" si="18"/>
        <v>0</v>
      </c>
      <c r="BO40" s="198">
        <f t="shared" si="18"/>
        <v>0</v>
      </c>
      <c r="BP40" s="198">
        <f t="shared" si="18"/>
        <v>0</v>
      </c>
      <c r="BQ40" s="198">
        <f t="shared" si="18"/>
        <v>0</v>
      </c>
      <c r="BR40" s="198">
        <f t="shared" si="18"/>
        <v>0</v>
      </c>
      <c r="BS40" s="198">
        <f t="shared" si="18"/>
        <v>0</v>
      </c>
      <c r="BT40" s="198">
        <f t="shared" si="18"/>
        <v>0</v>
      </c>
      <c r="BU40" s="198">
        <f t="shared" si="18"/>
        <v>0</v>
      </c>
      <c r="BV40" s="198">
        <f t="shared" si="18"/>
        <v>0</v>
      </c>
      <c r="BW40" s="198">
        <f t="shared" si="18"/>
        <v>0</v>
      </c>
      <c r="BX40" s="198">
        <f t="shared" si="18"/>
        <v>0</v>
      </c>
      <c r="BY40" s="333">
        <f t="shared" si="18"/>
        <v>0</v>
      </c>
      <c r="BZ40" s="198">
        <f t="shared" si="18"/>
        <v>0</v>
      </c>
      <c r="CA40" s="198">
        <f t="shared" si="18"/>
        <v>0</v>
      </c>
      <c r="CB40" s="198">
        <f t="shared" si="18"/>
        <v>0</v>
      </c>
      <c r="CC40" s="198">
        <f t="shared" si="18"/>
        <v>0</v>
      </c>
      <c r="CD40" s="198">
        <f t="shared" ref="CD40:CH40" si="19">SUM(CD41:CD43)</f>
        <v>0</v>
      </c>
      <c r="CE40" s="198">
        <f t="shared" si="19"/>
        <v>0</v>
      </c>
      <c r="CF40" s="198">
        <f t="shared" si="19"/>
        <v>0</v>
      </c>
      <c r="CG40" s="198">
        <f t="shared" si="19"/>
        <v>0</v>
      </c>
      <c r="CH40" s="198">
        <f t="shared" si="19"/>
        <v>0</v>
      </c>
    </row>
    <row r="41" spans="1:86" s="362" customFormat="1" x14ac:dyDescent="0.25">
      <c r="A41" s="14" t="s">
        <v>46</v>
      </c>
      <c r="B41" s="417" t="s">
        <v>735</v>
      </c>
      <c r="C41" s="390" t="s">
        <v>721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99" t="s">
        <v>525</v>
      </c>
      <c r="Q41" s="351">
        <f>'Ф5 2022'!AA41</f>
        <v>0</v>
      </c>
      <c r="R41" s="351">
        <f>'Ф5 2022'!AB41</f>
        <v>0</v>
      </c>
      <c r="S41" s="351">
        <f>'Ф5 2022'!AC41</f>
        <v>0</v>
      </c>
      <c r="T41" s="351">
        <f>'Ф5 2022'!AD41</f>
        <v>6.4</v>
      </c>
      <c r="U41" s="351">
        <f>'Ф5 2022'!AE41</f>
        <v>0</v>
      </c>
      <c r="V41" s="351">
        <f>'Ф5 2022'!AF41</f>
        <v>0</v>
      </c>
      <c r="W41" s="351">
        <v>0</v>
      </c>
      <c r="X41" s="351">
        <v>0</v>
      </c>
      <c r="Y41" s="351">
        <v>0</v>
      </c>
      <c r="Z41" s="351">
        <v>0</v>
      </c>
      <c r="AA41" s="351">
        <v>0</v>
      </c>
      <c r="AB41" s="351"/>
      <c r="AC41" s="351">
        <v>0</v>
      </c>
      <c r="AD41" s="351"/>
      <c r="AE41" s="351"/>
      <c r="AF41" s="351">
        <v>0</v>
      </c>
      <c r="AG41" s="351">
        <v>0</v>
      </c>
      <c r="AH41" s="351">
        <v>0</v>
      </c>
      <c r="AI41" s="368"/>
      <c r="AJ41" s="351">
        <v>0</v>
      </c>
      <c r="AK41" s="351"/>
      <c r="AL41" s="351"/>
      <c r="AM41" s="351"/>
      <c r="AN41" s="351"/>
      <c r="AO41" s="351"/>
      <c r="AP41" s="351"/>
      <c r="AQ41" s="351"/>
      <c r="AR41" s="351">
        <v>0</v>
      </c>
      <c r="AS41" s="351">
        <v>0</v>
      </c>
      <c r="AT41" s="351">
        <v>0</v>
      </c>
      <c r="AU41" s="351">
        <v>0</v>
      </c>
      <c r="AV41" s="351">
        <v>0</v>
      </c>
      <c r="AW41" s="367"/>
      <c r="AX41" s="367">
        <v>0</v>
      </c>
      <c r="AY41" s="351"/>
      <c r="AZ41" s="351"/>
      <c r="BA41" s="351"/>
      <c r="BB41" s="351"/>
      <c r="BC41" s="351"/>
      <c r="BD41" s="351"/>
      <c r="BE41" s="351"/>
      <c r="BF41" s="351">
        <v>0</v>
      </c>
      <c r="BG41" s="351">
        <v>0</v>
      </c>
      <c r="BH41" s="351">
        <v>0</v>
      </c>
      <c r="BI41" s="351">
        <v>0</v>
      </c>
      <c r="BJ41" s="351">
        <v>0</v>
      </c>
      <c r="BK41" s="367"/>
      <c r="BL41" s="367">
        <v>0</v>
      </c>
      <c r="BM41" s="351"/>
      <c r="BN41" s="351"/>
      <c r="BO41" s="351"/>
      <c r="BP41" s="351"/>
      <c r="BQ41" s="351"/>
      <c r="BR41" s="351"/>
      <c r="BS41" s="351"/>
      <c r="BT41" s="351">
        <v>0</v>
      </c>
      <c r="BU41" s="351">
        <v>0</v>
      </c>
      <c r="BV41" s="351">
        <v>0</v>
      </c>
      <c r="BW41" s="351">
        <v>0</v>
      </c>
      <c r="BX41" s="351">
        <v>0</v>
      </c>
      <c r="BY41" s="367"/>
      <c r="BZ41" s="351">
        <v>0</v>
      </c>
      <c r="CA41" s="351"/>
      <c r="CB41" s="351"/>
      <c r="CC41" s="351"/>
      <c r="CD41" s="351"/>
      <c r="CE41" s="351"/>
      <c r="CF41" s="351"/>
      <c r="CG41" s="351"/>
      <c r="CH41" s="370"/>
    </row>
    <row r="42" spans="1:86" s="362" customFormat="1" x14ac:dyDescent="0.25">
      <c r="A42" s="14" t="s">
        <v>527</v>
      </c>
      <c r="B42" s="419" t="s">
        <v>736</v>
      </c>
      <c r="C42" s="390" t="s">
        <v>722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68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67"/>
      <c r="AX42" s="367"/>
      <c r="AY42" s="351"/>
      <c r="AZ42" s="351"/>
      <c r="BA42" s="351"/>
      <c r="BB42" s="351"/>
      <c r="BC42" s="351"/>
      <c r="BD42" s="351"/>
      <c r="BE42" s="351"/>
      <c r="BF42" s="399" t="s">
        <v>525</v>
      </c>
      <c r="BG42" s="351">
        <f>'Ф5 2025'!AA42</f>
        <v>0</v>
      </c>
      <c r="BH42" s="351">
        <f>'Ф5 2025'!AB42</f>
        <v>0</v>
      </c>
      <c r="BI42" s="351">
        <f>'Ф5 2025'!AC42</f>
        <v>0</v>
      </c>
      <c r="BJ42" s="351">
        <f>'Ф5 2025'!AD42</f>
        <v>0.5</v>
      </c>
      <c r="BK42" s="367">
        <f>'Ф5 2025'!AE42</f>
        <v>0</v>
      </c>
      <c r="BL42" s="367">
        <f>'Ф5 2025'!AF42</f>
        <v>0</v>
      </c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67"/>
      <c r="BZ42" s="351"/>
      <c r="CA42" s="351"/>
      <c r="CB42" s="351"/>
      <c r="CC42" s="351"/>
      <c r="CD42" s="351"/>
      <c r="CE42" s="351"/>
      <c r="CF42" s="351"/>
      <c r="CG42" s="351"/>
      <c r="CH42" s="370"/>
    </row>
    <row r="43" spans="1:86" s="362" customFormat="1" x14ac:dyDescent="0.25">
      <c r="A43" s="14" t="s">
        <v>700</v>
      </c>
      <c r="B43" s="419" t="s">
        <v>737</v>
      </c>
      <c r="C43" s="390" t="s">
        <v>723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68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67"/>
      <c r="AX43" s="367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67"/>
      <c r="BL43" s="367"/>
      <c r="BM43" s="351"/>
      <c r="BN43" s="351"/>
      <c r="BO43" s="351"/>
      <c r="BP43" s="351"/>
      <c r="BQ43" s="351"/>
      <c r="BR43" s="351"/>
      <c r="BS43" s="351"/>
      <c r="BT43" s="399" t="s">
        <v>525</v>
      </c>
      <c r="BU43" s="351">
        <f>'Ф5 2026'!AA43</f>
        <v>0</v>
      </c>
      <c r="BV43" s="351">
        <f>'Ф5 2026'!AB43</f>
        <v>0</v>
      </c>
      <c r="BW43" s="351">
        <f>'Ф5 2026'!AC43</f>
        <v>0</v>
      </c>
      <c r="BX43" s="351">
        <f>'Ф5 2026'!AD43</f>
        <v>0</v>
      </c>
      <c r="BY43" s="367">
        <f>'Ф5 2026'!AE43</f>
        <v>0</v>
      </c>
      <c r="BZ43" s="351">
        <f>'Ф5 2026'!AF43</f>
        <v>0</v>
      </c>
      <c r="CA43" s="351"/>
      <c r="CB43" s="351"/>
      <c r="CC43" s="351"/>
      <c r="CD43" s="351"/>
      <c r="CE43" s="351"/>
      <c r="CF43" s="351"/>
      <c r="CG43" s="351"/>
      <c r="CH43" s="370"/>
    </row>
    <row r="44" spans="1:86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319"/>
      <c r="AJ44" s="198"/>
      <c r="AK44" s="198"/>
      <c r="AL44" s="198"/>
      <c r="AM44" s="198"/>
      <c r="AN44" s="198"/>
      <c r="AO44" s="198"/>
      <c r="AP44" s="198"/>
      <c r="AQ44" s="212"/>
      <c r="AR44" s="212"/>
      <c r="AS44" s="212"/>
      <c r="AT44" s="212"/>
      <c r="AU44" s="212"/>
      <c r="AV44" s="212"/>
      <c r="AW44" s="333"/>
      <c r="AX44" s="333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333"/>
      <c r="BL44" s="333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333"/>
      <c r="BZ44" s="212"/>
      <c r="CA44" s="212"/>
      <c r="CB44" s="212"/>
      <c r="CC44" s="212"/>
      <c r="CD44" s="212"/>
      <c r="CE44" s="212"/>
      <c r="CF44" s="212"/>
      <c r="CG44" s="212"/>
      <c r="CH44" s="212"/>
    </row>
    <row r="45" spans="1:86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0</v>
      </c>
      <c r="E45" s="195">
        <f t="shared" ref="E45:P45" si="20">E46</f>
        <v>0</v>
      </c>
      <c r="F45" s="195">
        <f t="shared" si="20"/>
        <v>0</v>
      </c>
      <c r="G45" s="195">
        <f t="shared" si="20"/>
        <v>0</v>
      </c>
      <c r="H45" s="195">
        <f t="shared" si="20"/>
        <v>0</v>
      </c>
      <c r="I45" s="195">
        <f t="shared" si="20"/>
        <v>0</v>
      </c>
      <c r="J45" s="195">
        <f t="shared" si="20"/>
        <v>0</v>
      </c>
      <c r="K45" s="195">
        <f t="shared" si="20"/>
        <v>0</v>
      </c>
      <c r="L45" s="195">
        <f t="shared" si="20"/>
        <v>0</v>
      </c>
      <c r="M45" s="195">
        <f t="shared" si="20"/>
        <v>0</v>
      </c>
      <c r="N45" s="195">
        <f t="shared" si="20"/>
        <v>0</v>
      </c>
      <c r="O45" s="195">
        <f t="shared" si="20"/>
        <v>0</v>
      </c>
      <c r="P45" s="195">
        <f t="shared" si="20"/>
        <v>0</v>
      </c>
      <c r="Q45" s="195">
        <f>Q46</f>
        <v>0</v>
      </c>
      <c r="R45" s="195">
        <f t="shared" ref="R45:CC45" si="21">R46</f>
        <v>0</v>
      </c>
      <c r="S45" s="195">
        <f t="shared" si="21"/>
        <v>0</v>
      </c>
      <c r="T45" s="195">
        <f t="shared" si="21"/>
        <v>0</v>
      </c>
      <c r="U45" s="195">
        <f t="shared" si="21"/>
        <v>0</v>
      </c>
      <c r="V45" s="195">
        <f t="shared" si="21"/>
        <v>0</v>
      </c>
      <c r="W45" s="195">
        <f t="shared" si="21"/>
        <v>0</v>
      </c>
      <c r="X45" s="195">
        <f t="shared" si="21"/>
        <v>0</v>
      </c>
      <c r="Y45" s="195">
        <f t="shared" si="21"/>
        <v>0</v>
      </c>
      <c r="Z45" s="195">
        <f t="shared" si="21"/>
        <v>0</v>
      </c>
      <c r="AA45" s="195">
        <f t="shared" si="21"/>
        <v>0</v>
      </c>
      <c r="AB45" s="195">
        <f t="shared" si="21"/>
        <v>0</v>
      </c>
      <c r="AC45" s="195">
        <f t="shared" si="21"/>
        <v>0</v>
      </c>
      <c r="AD45" s="195">
        <f t="shared" si="21"/>
        <v>0</v>
      </c>
      <c r="AE45" s="195">
        <f t="shared" si="21"/>
        <v>0</v>
      </c>
      <c r="AF45" s="195">
        <f t="shared" si="21"/>
        <v>0</v>
      </c>
      <c r="AG45" s="195">
        <f t="shared" si="21"/>
        <v>3.95</v>
      </c>
      <c r="AH45" s="195">
        <f t="shared" si="21"/>
        <v>0.25</v>
      </c>
      <c r="AI45" s="318">
        <f t="shared" si="21"/>
        <v>0</v>
      </c>
      <c r="AJ45" s="195">
        <f t="shared" si="21"/>
        <v>0</v>
      </c>
      <c r="AK45" s="195">
        <f t="shared" si="21"/>
        <v>0</v>
      </c>
      <c r="AL45" s="195">
        <f t="shared" si="21"/>
        <v>0</v>
      </c>
      <c r="AM45" s="195">
        <f t="shared" si="21"/>
        <v>0</v>
      </c>
      <c r="AN45" s="195">
        <f t="shared" si="21"/>
        <v>0</v>
      </c>
      <c r="AO45" s="195">
        <f t="shared" si="21"/>
        <v>0</v>
      </c>
      <c r="AP45" s="195">
        <f t="shared" si="21"/>
        <v>0</v>
      </c>
      <c r="AQ45" s="195">
        <f t="shared" si="21"/>
        <v>0</v>
      </c>
      <c r="AR45" s="195">
        <f t="shared" si="21"/>
        <v>0</v>
      </c>
      <c r="AS45" s="195">
        <f t="shared" si="21"/>
        <v>0</v>
      </c>
      <c r="AT45" s="195">
        <f t="shared" si="21"/>
        <v>0</v>
      </c>
      <c r="AU45" s="195">
        <f t="shared" si="21"/>
        <v>1.5659999999999998</v>
      </c>
      <c r="AV45" s="195">
        <f t="shared" si="21"/>
        <v>0</v>
      </c>
      <c r="AW45" s="332">
        <f t="shared" si="21"/>
        <v>0</v>
      </c>
      <c r="AX45" s="332">
        <f t="shared" si="21"/>
        <v>0</v>
      </c>
      <c r="AY45" s="195">
        <f t="shared" si="21"/>
        <v>0</v>
      </c>
      <c r="AZ45" s="195">
        <f t="shared" si="21"/>
        <v>0</v>
      </c>
      <c r="BA45" s="195">
        <f t="shared" si="21"/>
        <v>0</v>
      </c>
      <c r="BB45" s="195">
        <f t="shared" si="21"/>
        <v>0</v>
      </c>
      <c r="BC45" s="195">
        <f t="shared" si="21"/>
        <v>0</v>
      </c>
      <c r="BD45" s="195">
        <f t="shared" si="21"/>
        <v>0</v>
      </c>
      <c r="BE45" s="195">
        <f t="shared" si="21"/>
        <v>0</v>
      </c>
      <c r="BF45" s="195">
        <f t="shared" si="21"/>
        <v>0</v>
      </c>
      <c r="BG45" s="195">
        <f t="shared" si="21"/>
        <v>0</v>
      </c>
      <c r="BH45" s="195">
        <f t="shared" si="21"/>
        <v>0</v>
      </c>
      <c r="BI45" s="195">
        <f t="shared" si="21"/>
        <v>2.0659999999999998</v>
      </c>
      <c r="BJ45" s="195">
        <f t="shared" si="21"/>
        <v>0.16</v>
      </c>
      <c r="BK45" s="332">
        <f t="shared" si="21"/>
        <v>0</v>
      </c>
      <c r="BL45" s="332">
        <f t="shared" si="21"/>
        <v>0</v>
      </c>
      <c r="BM45" s="195">
        <f t="shared" si="21"/>
        <v>0</v>
      </c>
      <c r="BN45" s="195">
        <f t="shared" si="21"/>
        <v>0</v>
      </c>
      <c r="BO45" s="195">
        <f t="shared" si="21"/>
        <v>0</v>
      </c>
      <c r="BP45" s="195">
        <f t="shared" si="21"/>
        <v>0</v>
      </c>
      <c r="BQ45" s="195">
        <f t="shared" si="21"/>
        <v>0</v>
      </c>
      <c r="BR45" s="195">
        <f t="shared" si="21"/>
        <v>0</v>
      </c>
      <c r="BS45" s="195">
        <f t="shared" si="21"/>
        <v>0</v>
      </c>
      <c r="BT45" s="195">
        <f t="shared" si="21"/>
        <v>0</v>
      </c>
      <c r="BU45" s="195">
        <f t="shared" si="21"/>
        <v>0</v>
      </c>
      <c r="BV45" s="195">
        <f t="shared" si="21"/>
        <v>0</v>
      </c>
      <c r="BW45" s="195">
        <f t="shared" si="21"/>
        <v>0</v>
      </c>
      <c r="BX45" s="195">
        <f t="shared" si="21"/>
        <v>0</v>
      </c>
      <c r="BY45" s="332">
        <f t="shared" si="21"/>
        <v>0</v>
      </c>
      <c r="BZ45" s="195">
        <f t="shared" si="21"/>
        <v>0</v>
      </c>
      <c r="CA45" s="195">
        <f t="shared" si="21"/>
        <v>0</v>
      </c>
      <c r="CB45" s="195">
        <f t="shared" si="21"/>
        <v>0</v>
      </c>
      <c r="CC45" s="195">
        <f t="shared" si="21"/>
        <v>0</v>
      </c>
      <c r="CD45" s="195">
        <f t="shared" ref="CD45:CH45" si="22">CD46</f>
        <v>0</v>
      </c>
      <c r="CE45" s="195">
        <f t="shared" si="22"/>
        <v>0</v>
      </c>
      <c r="CF45" s="195">
        <f t="shared" si="22"/>
        <v>0</v>
      </c>
      <c r="CG45" s="195">
        <f t="shared" si="22"/>
        <v>0</v>
      </c>
      <c r="CH45" s="195">
        <f t="shared" si="22"/>
        <v>0</v>
      </c>
    </row>
    <row r="46" spans="1:86" s="200" customFormat="1" x14ac:dyDescent="0.25">
      <c r="A46" s="197" t="s">
        <v>74</v>
      </c>
      <c r="B46" s="11" t="s">
        <v>75</v>
      </c>
      <c r="C46" s="198">
        <v>0</v>
      </c>
      <c r="D46" s="198">
        <f t="shared" ref="D46:P46" si="23">D47+D50</f>
        <v>0</v>
      </c>
      <c r="E46" s="198">
        <f t="shared" si="23"/>
        <v>0</v>
      </c>
      <c r="F46" s="198">
        <f t="shared" si="23"/>
        <v>0</v>
      </c>
      <c r="G46" s="198">
        <f t="shared" si="23"/>
        <v>0</v>
      </c>
      <c r="H46" s="198">
        <f t="shared" si="23"/>
        <v>0</v>
      </c>
      <c r="I46" s="198">
        <f t="shared" si="23"/>
        <v>0</v>
      </c>
      <c r="J46" s="198">
        <f t="shared" si="23"/>
        <v>0</v>
      </c>
      <c r="K46" s="198">
        <f t="shared" si="23"/>
        <v>0</v>
      </c>
      <c r="L46" s="198">
        <f t="shared" si="23"/>
        <v>0</v>
      </c>
      <c r="M46" s="198">
        <f t="shared" si="23"/>
        <v>0</v>
      </c>
      <c r="N46" s="198">
        <f t="shared" si="23"/>
        <v>0</v>
      </c>
      <c r="O46" s="198">
        <f t="shared" si="23"/>
        <v>0</v>
      </c>
      <c r="P46" s="198">
        <f t="shared" si="23"/>
        <v>0</v>
      </c>
      <c r="Q46" s="198">
        <f>SUM(Q47:Q50)</f>
        <v>0</v>
      </c>
      <c r="R46" s="198">
        <f t="shared" ref="R46:CC46" si="24">SUM(R47:R50)</f>
        <v>0</v>
      </c>
      <c r="S46" s="198">
        <f t="shared" si="24"/>
        <v>0</v>
      </c>
      <c r="T46" s="198">
        <f t="shared" si="24"/>
        <v>0</v>
      </c>
      <c r="U46" s="198">
        <f t="shared" si="24"/>
        <v>0</v>
      </c>
      <c r="V46" s="198">
        <f t="shared" si="24"/>
        <v>0</v>
      </c>
      <c r="W46" s="198">
        <f t="shared" si="24"/>
        <v>0</v>
      </c>
      <c r="X46" s="198">
        <f t="shared" si="24"/>
        <v>0</v>
      </c>
      <c r="Y46" s="198">
        <f t="shared" si="24"/>
        <v>0</v>
      </c>
      <c r="Z46" s="198">
        <f t="shared" si="24"/>
        <v>0</v>
      </c>
      <c r="AA46" s="198">
        <f t="shared" si="24"/>
        <v>0</v>
      </c>
      <c r="AB46" s="198">
        <f t="shared" si="24"/>
        <v>0</v>
      </c>
      <c r="AC46" s="198">
        <f t="shared" si="24"/>
        <v>0</v>
      </c>
      <c r="AD46" s="198">
        <f t="shared" si="24"/>
        <v>0</v>
      </c>
      <c r="AE46" s="198">
        <f t="shared" si="24"/>
        <v>0</v>
      </c>
      <c r="AF46" s="198">
        <f t="shared" si="24"/>
        <v>0</v>
      </c>
      <c r="AG46" s="198">
        <f t="shared" si="24"/>
        <v>3.95</v>
      </c>
      <c r="AH46" s="198">
        <f t="shared" si="24"/>
        <v>0.25</v>
      </c>
      <c r="AI46" s="319">
        <f t="shared" si="24"/>
        <v>0</v>
      </c>
      <c r="AJ46" s="198">
        <f t="shared" si="24"/>
        <v>0</v>
      </c>
      <c r="AK46" s="198">
        <f t="shared" si="24"/>
        <v>0</v>
      </c>
      <c r="AL46" s="198">
        <f t="shared" si="24"/>
        <v>0</v>
      </c>
      <c r="AM46" s="198">
        <f t="shared" si="24"/>
        <v>0</v>
      </c>
      <c r="AN46" s="198">
        <f t="shared" si="24"/>
        <v>0</v>
      </c>
      <c r="AO46" s="198">
        <f t="shared" si="24"/>
        <v>0</v>
      </c>
      <c r="AP46" s="198">
        <f t="shared" si="24"/>
        <v>0</v>
      </c>
      <c r="AQ46" s="198">
        <f t="shared" si="24"/>
        <v>0</v>
      </c>
      <c r="AR46" s="198">
        <f t="shared" si="24"/>
        <v>0</v>
      </c>
      <c r="AS46" s="198">
        <f t="shared" si="24"/>
        <v>0</v>
      </c>
      <c r="AT46" s="198">
        <f t="shared" si="24"/>
        <v>0</v>
      </c>
      <c r="AU46" s="198">
        <f t="shared" si="24"/>
        <v>1.5659999999999998</v>
      </c>
      <c r="AV46" s="198">
        <f t="shared" si="24"/>
        <v>0</v>
      </c>
      <c r="AW46" s="333">
        <f t="shared" si="24"/>
        <v>0</v>
      </c>
      <c r="AX46" s="333">
        <f t="shared" si="24"/>
        <v>0</v>
      </c>
      <c r="AY46" s="198">
        <f t="shared" si="24"/>
        <v>0</v>
      </c>
      <c r="AZ46" s="198">
        <f t="shared" si="24"/>
        <v>0</v>
      </c>
      <c r="BA46" s="198">
        <f t="shared" si="24"/>
        <v>0</v>
      </c>
      <c r="BB46" s="198">
        <f t="shared" si="24"/>
        <v>0</v>
      </c>
      <c r="BC46" s="198">
        <f t="shared" si="24"/>
        <v>0</v>
      </c>
      <c r="BD46" s="198">
        <f t="shared" si="24"/>
        <v>0</v>
      </c>
      <c r="BE46" s="198">
        <f t="shared" si="24"/>
        <v>0</v>
      </c>
      <c r="BF46" s="198">
        <f t="shared" si="24"/>
        <v>0</v>
      </c>
      <c r="BG46" s="198">
        <f t="shared" si="24"/>
        <v>0</v>
      </c>
      <c r="BH46" s="198">
        <f t="shared" si="24"/>
        <v>0</v>
      </c>
      <c r="BI46" s="198">
        <f t="shared" si="24"/>
        <v>2.0659999999999998</v>
      </c>
      <c r="BJ46" s="198">
        <f t="shared" si="24"/>
        <v>0.16</v>
      </c>
      <c r="BK46" s="333">
        <f t="shared" si="24"/>
        <v>0</v>
      </c>
      <c r="BL46" s="333">
        <f t="shared" si="24"/>
        <v>0</v>
      </c>
      <c r="BM46" s="198">
        <f t="shared" si="24"/>
        <v>0</v>
      </c>
      <c r="BN46" s="198">
        <f t="shared" si="24"/>
        <v>0</v>
      </c>
      <c r="BO46" s="198">
        <f t="shared" si="24"/>
        <v>0</v>
      </c>
      <c r="BP46" s="198">
        <f t="shared" si="24"/>
        <v>0</v>
      </c>
      <c r="BQ46" s="198">
        <f t="shared" si="24"/>
        <v>0</v>
      </c>
      <c r="BR46" s="198">
        <f t="shared" si="24"/>
        <v>0</v>
      </c>
      <c r="BS46" s="198">
        <f t="shared" si="24"/>
        <v>0</v>
      </c>
      <c r="BT46" s="198">
        <f t="shared" si="24"/>
        <v>0</v>
      </c>
      <c r="BU46" s="198">
        <f t="shared" si="24"/>
        <v>0</v>
      </c>
      <c r="BV46" s="198">
        <f t="shared" si="24"/>
        <v>0</v>
      </c>
      <c r="BW46" s="198">
        <f t="shared" si="24"/>
        <v>0</v>
      </c>
      <c r="BX46" s="198">
        <f t="shared" si="24"/>
        <v>0</v>
      </c>
      <c r="BY46" s="333">
        <f t="shared" si="24"/>
        <v>0</v>
      </c>
      <c r="BZ46" s="198">
        <f t="shared" si="24"/>
        <v>0</v>
      </c>
      <c r="CA46" s="198">
        <f t="shared" si="24"/>
        <v>0</v>
      </c>
      <c r="CB46" s="198">
        <f t="shared" si="24"/>
        <v>0</v>
      </c>
      <c r="CC46" s="198">
        <f t="shared" si="24"/>
        <v>0</v>
      </c>
      <c r="CD46" s="198">
        <f t="shared" ref="CD46:CH46" si="25">SUM(CD47:CD50)</f>
        <v>0</v>
      </c>
      <c r="CE46" s="198">
        <f t="shared" si="25"/>
        <v>0</v>
      </c>
      <c r="CF46" s="198">
        <f t="shared" si="25"/>
        <v>0</v>
      </c>
      <c r="CG46" s="198">
        <f t="shared" si="25"/>
        <v>0</v>
      </c>
      <c r="CH46" s="198">
        <f t="shared" si="25"/>
        <v>0</v>
      </c>
    </row>
    <row r="47" spans="1:86" s="362" customFormat="1" ht="25.5" x14ac:dyDescent="0.25">
      <c r="A47" s="14" t="s">
        <v>76</v>
      </c>
      <c r="B47" s="417" t="s">
        <v>738</v>
      </c>
      <c r="C47" s="390" t="s">
        <v>724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99" t="s">
        <v>525</v>
      </c>
      <c r="AE47" s="351">
        <f>'Ф5 2023'!AA47</f>
        <v>0</v>
      </c>
      <c r="AF47" s="351">
        <f>'Ф5 2023'!AB47</f>
        <v>0</v>
      </c>
      <c r="AG47" s="351">
        <f>'Ф5 2023'!AC47</f>
        <v>3.95</v>
      </c>
      <c r="AH47" s="351">
        <f>'Ф5 2023'!AD47</f>
        <v>0.25</v>
      </c>
      <c r="AI47" s="368">
        <f>'Ф5 2023'!AE47</f>
        <v>0</v>
      </c>
      <c r="AJ47" s="351">
        <f>'Ф5 2023'!AF47</f>
        <v>0</v>
      </c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67"/>
      <c r="AX47" s="367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67"/>
      <c r="BL47" s="367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67"/>
      <c r="BZ47" s="351"/>
      <c r="CA47" s="351"/>
      <c r="CB47" s="351"/>
      <c r="CC47" s="351"/>
      <c r="CD47" s="351"/>
      <c r="CE47" s="351"/>
      <c r="CF47" s="351"/>
      <c r="CG47" s="351"/>
      <c r="CH47" s="370"/>
    </row>
    <row r="48" spans="1:86" s="395" customFormat="1" x14ac:dyDescent="0.25">
      <c r="A48" s="14" t="s">
        <v>659</v>
      </c>
      <c r="B48" s="417" t="s">
        <v>739</v>
      </c>
      <c r="C48" s="390" t="s">
        <v>725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462"/>
      <c r="AJ48" s="393"/>
      <c r="AK48" s="393"/>
      <c r="AL48" s="393"/>
      <c r="AM48" s="393"/>
      <c r="AN48" s="393"/>
      <c r="AO48" s="393"/>
      <c r="AP48" s="393"/>
      <c r="AQ48" s="393"/>
      <c r="AR48" s="399" t="s">
        <v>525</v>
      </c>
      <c r="AS48" s="393">
        <f>'Ф5 2024'!AA47</f>
        <v>0</v>
      </c>
      <c r="AT48" s="393">
        <f>'Ф5 2024'!AB47</f>
        <v>0</v>
      </c>
      <c r="AU48" s="393">
        <f>'Ф5 2024'!AC47</f>
        <v>0.74099999999999999</v>
      </c>
      <c r="AV48" s="393">
        <f>'Ф5 2024'!AD47</f>
        <v>0</v>
      </c>
      <c r="AW48" s="447">
        <f>'Ф5 2024'!AE47</f>
        <v>0</v>
      </c>
      <c r="AX48" s="447">
        <f>'Ф5 2024'!AF47</f>
        <v>0</v>
      </c>
      <c r="AY48" s="351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447"/>
      <c r="BL48" s="447"/>
      <c r="BM48" s="351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447"/>
      <c r="BZ48" s="393"/>
      <c r="CA48" s="351"/>
      <c r="CB48" s="393"/>
      <c r="CC48" s="393"/>
      <c r="CD48" s="393"/>
      <c r="CE48" s="393"/>
      <c r="CF48" s="393"/>
      <c r="CG48" s="393"/>
      <c r="CH48" s="398"/>
    </row>
    <row r="49" spans="1:86" s="395" customFormat="1" x14ac:dyDescent="0.25">
      <c r="A49" s="14" t="s">
        <v>661</v>
      </c>
      <c r="B49" s="417" t="s">
        <v>740</v>
      </c>
      <c r="C49" s="390" t="s">
        <v>726</v>
      </c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462"/>
      <c r="AJ49" s="393"/>
      <c r="AK49" s="393"/>
      <c r="AL49" s="393"/>
      <c r="AM49" s="393"/>
      <c r="AN49" s="393"/>
      <c r="AO49" s="393"/>
      <c r="AP49" s="393"/>
      <c r="AQ49" s="393"/>
      <c r="AR49" s="399" t="s">
        <v>525</v>
      </c>
      <c r="AS49" s="393">
        <f>'Ф5 2024'!AA48</f>
        <v>0</v>
      </c>
      <c r="AT49" s="393">
        <f>'Ф5 2024'!AB48</f>
        <v>0</v>
      </c>
      <c r="AU49" s="393">
        <f>'Ф5 2024'!AC48</f>
        <v>0.82499999999999996</v>
      </c>
      <c r="AV49" s="393">
        <f>'Ф5 2024'!AD48</f>
        <v>0</v>
      </c>
      <c r="AW49" s="447">
        <f>'Ф5 2024'!AE48</f>
        <v>0</v>
      </c>
      <c r="AX49" s="447">
        <f>'Ф5 2024'!AF48</f>
        <v>0</v>
      </c>
      <c r="AY49" s="351"/>
      <c r="AZ49" s="393"/>
      <c r="BA49" s="393"/>
      <c r="BB49" s="393"/>
      <c r="BC49" s="393"/>
      <c r="BD49" s="393"/>
      <c r="BE49" s="393"/>
      <c r="BF49" s="393"/>
      <c r="BG49" s="393"/>
      <c r="BH49" s="393"/>
      <c r="BI49" s="393"/>
      <c r="BJ49" s="393"/>
      <c r="BK49" s="447"/>
      <c r="BL49" s="447"/>
      <c r="BM49" s="351"/>
      <c r="BN49" s="393"/>
      <c r="BO49" s="393"/>
      <c r="BP49" s="393"/>
      <c r="BQ49" s="393"/>
      <c r="BR49" s="393"/>
      <c r="BS49" s="393"/>
      <c r="BT49" s="393"/>
      <c r="BU49" s="393"/>
      <c r="BV49" s="393"/>
      <c r="BW49" s="393"/>
      <c r="BX49" s="393"/>
      <c r="BY49" s="447"/>
      <c r="BZ49" s="393"/>
      <c r="CA49" s="351"/>
      <c r="CB49" s="393"/>
      <c r="CC49" s="393"/>
      <c r="CD49" s="393"/>
      <c r="CE49" s="393"/>
      <c r="CF49" s="393"/>
      <c r="CG49" s="393"/>
      <c r="CH49" s="398"/>
    </row>
    <row r="50" spans="1:86" s="362" customFormat="1" ht="38.25" x14ac:dyDescent="0.25">
      <c r="A50" s="14" t="s">
        <v>662</v>
      </c>
      <c r="B50" s="417" t="s">
        <v>741</v>
      </c>
      <c r="C50" s="390" t="s">
        <v>727</v>
      </c>
      <c r="D50" s="351">
        <v>0</v>
      </c>
      <c r="E50" s="351"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0</v>
      </c>
      <c r="N50" s="351">
        <v>0</v>
      </c>
      <c r="O50" s="351">
        <v>0</v>
      </c>
      <c r="P50" s="351">
        <v>0</v>
      </c>
      <c r="Q50" s="351">
        <v>0</v>
      </c>
      <c r="R50" s="351">
        <v>0</v>
      </c>
      <c r="S50" s="351">
        <v>0</v>
      </c>
      <c r="T50" s="351">
        <v>0</v>
      </c>
      <c r="U50" s="351"/>
      <c r="V50" s="351">
        <v>0</v>
      </c>
      <c r="W50" s="351">
        <v>0</v>
      </c>
      <c r="X50" s="351">
        <v>0</v>
      </c>
      <c r="Y50" s="351">
        <v>0</v>
      </c>
      <c r="Z50" s="351">
        <v>0</v>
      </c>
      <c r="AA50" s="351">
        <v>0</v>
      </c>
      <c r="AB50" s="351"/>
      <c r="AC50" s="351">
        <v>0</v>
      </c>
      <c r="AD50" s="351">
        <v>0</v>
      </c>
      <c r="AE50" s="351">
        <v>0</v>
      </c>
      <c r="AF50" s="351">
        <v>0</v>
      </c>
      <c r="AG50" s="351">
        <v>0</v>
      </c>
      <c r="AH50" s="351">
        <v>0</v>
      </c>
      <c r="AI50" s="368"/>
      <c r="AJ50" s="351">
        <v>0</v>
      </c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67"/>
      <c r="AX50" s="367">
        <v>0</v>
      </c>
      <c r="AY50" s="351"/>
      <c r="AZ50" s="351"/>
      <c r="BA50" s="351"/>
      <c r="BB50" s="351"/>
      <c r="BC50" s="351"/>
      <c r="BD50" s="351"/>
      <c r="BE50" s="351"/>
      <c r="BF50" s="399" t="s">
        <v>525</v>
      </c>
      <c r="BG50" s="351">
        <f>'Ф5 2025'!AA50</f>
        <v>0</v>
      </c>
      <c r="BH50" s="351">
        <f>'Ф5 2025'!AB50</f>
        <v>0</v>
      </c>
      <c r="BI50" s="351">
        <f>'Ф5 2025'!AC50</f>
        <v>2.0659999999999998</v>
      </c>
      <c r="BJ50" s="351">
        <f>'Ф5 2025'!AD50</f>
        <v>0.16</v>
      </c>
      <c r="BK50" s="367">
        <f>'Ф5 2025'!AE50</f>
        <v>0</v>
      </c>
      <c r="BL50" s="367">
        <f>'Ф5 2025'!AF50</f>
        <v>0</v>
      </c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>
        <v>0</v>
      </c>
      <c r="BY50" s="367"/>
      <c r="BZ50" s="351">
        <v>0</v>
      </c>
      <c r="CA50" s="351"/>
      <c r="CB50" s="351"/>
      <c r="CC50" s="351"/>
      <c r="CD50" s="351"/>
      <c r="CE50" s="351"/>
      <c r="CF50" s="351"/>
      <c r="CG50" s="351"/>
      <c r="CH50" s="351"/>
    </row>
    <row r="51" spans="1:86" s="200" customFormat="1" ht="31.5" hidden="1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319"/>
      <c r="AJ51" s="198"/>
      <c r="AK51" s="198"/>
      <c r="AL51" s="198"/>
      <c r="AM51" s="198"/>
      <c r="AN51" s="198"/>
      <c r="AO51" s="198"/>
      <c r="AP51" s="198"/>
      <c r="AQ51" s="212"/>
      <c r="AR51" s="212"/>
      <c r="AS51" s="212"/>
      <c r="AT51" s="212"/>
      <c r="AU51" s="212"/>
      <c r="AV51" s="212"/>
      <c r="AW51" s="333"/>
      <c r="AX51" s="333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333"/>
      <c r="BL51" s="333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333"/>
      <c r="BZ51" s="212"/>
      <c r="CA51" s="212"/>
      <c r="CB51" s="212"/>
      <c r="CC51" s="212"/>
      <c r="CD51" s="212"/>
      <c r="CE51" s="212"/>
      <c r="CF51" s="212"/>
      <c r="CG51" s="212"/>
      <c r="CH51" s="212"/>
    </row>
    <row r="52" spans="1:86" s="196" customFormat="1" ht="31.5" x14ac:dyDescent="0.25">
      <c r="A52" s="194" t="s">
        <v>116</v>
      </c>
      <c r="B52" s="65" t="s">
        <v>117</v>
      </c>
      <c r="C52" s="195">
        <v>0</v>
      </c>
      <c r="D52" s="195">
        <f t="shared" ref="D52:P52" si="26">D62</f>
        <v>0</v>
      </c>
      <c r="E52" s="195">
        <f t="shared" si="26"/>
        <v>0</v>
      </c>
      <c r="F52" s="195">
        <f t="shared" si="26"/>
        <v>0</v>
      </c>
      <c r="G52" s="195">
        <f t="shared" si="26"/>
        <v>0</v>
      </c>
      <c r="H52" s="195">
        <f t="shared" si="26"/>
        <v>0</v>
      </c>
      <c r="I52" s="195">
        <f t="shared" si="26"/>
        <v>0</v>
      </c>
      <c r="J52" s="195">
        <f t="shared" si="26"/>
        <v>0</v>
      </c>
      <c r="K52" s="195">
        <f t="shared" si="26"/>
        <v>0</v>
      </c>
      <c r="L52" s="195">
        <f t="shared" si="26"/>
        <v>0</v>
      </c>
      <c r="M52" s="195">
        <f t="shared" si="26"/>
        <v>0</v>
      </c>
      <c r="N52" s="195">
        <f t="shared" si="26"/>
        <v>0</v>
      </c>
      <c r="O52" s="195">
        <f t="shared" si="26"/>
        <v>0</v>
      </c>
      <c r="P52" s="195">
        <f t="shared" si="26"/>
        <v>0</v>
      </c>
      <c r="Q52" s="195">
        <f>Q53</f>
        <v>0</v>
      </c>
      <c r="R52" s="195">
        <f t="shared" ref="R52:CC52" si="27">R53</f>
        <v>0</v>
      </c>
      <c r="S52" s="195">
        <f t="shared" si="27"/>
        <v>0</v>
      </c>
      <c r="T52" s="195">
        <f t="shared" si="27"/>
        <v>0</v>
      </c>
      <c r="U52" s="318">
        <f t="shared" si="27"/>
        <v>347</v>
      </c>
      <c r="V52" s="195">
        <f t="shared" si="27"/>
        <v>0</v>
      </c>
      <c r="W52" s="195">
        <f t="shared" si="27"/>
        <v>0</v>
      </c>
      <c r="X52" s="195">
        <f t="shared" si="27"/>
        <v>0</v>
      </c>
      <c r="Y52" s="195">
        <f t="shared" si="27"/>
        <v>0</v>
      </c>
      <c r="Z52" s="195">
        <f t="shared" si="27"/>
        <v>0</v>
      </c>
      <c r="AA52" s="195">
        <f t="shared" si="27"/>
        <v>0</v>
      </c>
      <c r="AB52" s="195">
        <f t="shared" si="27"/>
        <v>0</v>
      </c>
      <c r="AC52" s="195">
        <f t="shared" si="27"/>
        <v>0</v>
      </c>
      <c r="AD52" s="195">
        <f t="shared" si="27"/>
        <v>0</v>
      </c>
      <c r="AE52" s="195">
        <f t="shared" si="27"/>
        <v>0</v>
      </c>
      <c r="AF52" s="195">
        <f t="shared" si="27"/>
        <v>0</v>
      </c>
      <c r="AG52" s="195">
        <f t="shared" si="27"/>
        <v>0</v>
      </c>
      <c r="AH52" s="195">
        <f t="shared" si="27"/>
        <v>0</v>
      </c>
      <c r="AI52" s="318">
        <f t="shared" si="27"/>
        <v>287</v>
      </c>
      <c r="AJ52" s="195">
        <f t="shared" si="27"/>
        <v>0</v>
      </c>
      <c r="AK52" s="195">
        <f t="shared" si="27"/>
        <v>0</v>
      </c>
      <c r="AL52" s="195">
        <f t="shared" si="27"/>
        <v>0</v>
      </c>
      <c r="AM52" s="195">
        <f t="shared" si="27"/>
        <v>0</v>
      </c>
      <c r="AN52" s="195">
        <f t="shared" si="27"/>
        <v>0</v>
      </c>
      <c r="AO52" s="195">
        <f t="shared" si="27"/>
        <v>0</v>
      </c>
      <c r="AP52" s="195">
        <f t="shared" si="27"/>
        <v>0</v>
      </c>
      <c r="AQ52" s="195">
        <f t="shared" si="27"/>
        <v>0</v>
      </c>
      <c r="AR52" s="195">
        <f t="shared" si="27"/>
        <v>0</v>
      </c>
      <c r="AS52" s="195">
        <f t="shared" si="27"/>
        <v>0</v>
      </c>
      <c r="AT52" s="195">
        <f t="shared" si="27"/>
        <v>0</v>
      </c>
      <c r="AU52" s="195">
        <f t="shared" si="27"/>
        <v>0</v>
      </c>
      <c r="AV52" s="195">
        <f t="shared" si="27"/>
        <v>0</v>
      </c>
      <c r="AW52" s="332">
        <f t="shared" si="27"/>
        <v>171</v>
      </c>
      <c r="AX52" s="332">
        <f t="shared" si="27"/>
        <v>0</v>
      </c>
      <c r="AY52" s="195">
        <f t="shared" si="27"/>
        <v>0</v>
      </c>
      <c r="AZ52" s="195">
        <f t="shared" si="27"/>
        <v>0</v>
      </c>
      <c r="BA52" s="195">
        <f t="shared" si="27"/>
        <v>0</v>
      </c>
      <c r="BB52" s="195">
        <f t="shared" si="27"/>
        <v>0</v>
      </c>
      <c r="BC52" s="195">
        <f t="shared" si="27"/>
        <v>0</v>
      </c>
      <c r="BD52" s="195">
        <f t="shared" si="27"/>
        <v>0</v>
      </c>
      <c r="BE52" s="195">
        <f t="shared" si="27"/>
        <v>0</v>
      </c>
      <c r="BF52" s="195">
        <f t="shared" si="27"/>
        <v>0</v>
      </c>
      <c r="BG52" s="195">
        <f t="shared" si="27"/>
        <v>0</v>
      </c>
      <c r="BH52" s="195">
        <f t="shared" si="27"/>
        <v>0</v>
      </c>
      <c r="BI52" s="195">
        <f t="shared" si="27"/>
        <v>0</v>
      </c>
      <c r="BJ52" s="195">
        <f t="shared" si="27"/>
        <v>0</v>
      </c>
      <c r="BK52" s="332">
        <f t="shared" si="27"/>
        <v>201</v>
      </c>
      <c r="BL52" s="332">
        <f t="shared" si="27"/>
        <v>0</v>
      </c>
      <c r="BM52" s="195">
        <f t="shared" si="27"/>
        <v>0</v>
      </c>
      <c r="BN52" s="195">
        <f t="shared" si="27"/>
        <v>0</v>
      </c>
      <c r="BO52" s="195">
        <f t="shared" si="27"/>
        <v>0</v>
      </c>
      <c r="BP52" s="195">
        <f t="shared" si="27"/>
        <v>0</v>
      </c>
      <c r="BQ52" s="195">
        <f t="shared" si="27"/>
        <v>0</v>
      </c>
      <c r="BR52" s="195">
        <f t="shared" si="27"/>
        <v>0</v>
      </c>
      <c r="BS52" s="195">
        <f t="shared" si="27"/>
        <v>0</v>
      </c>
      <c r="BT52" s="195">
        <f t="shared" si="27"/>
        <v>0</v>
      </c>
      <c r="BU52" s="195">
        <f t="shared" si="27"/>
        <v>0</v>
      </c>
      <c r="BV52" s="195">
        <f t="shared" si="27"/>
        <v>0</v>
      </c>
      <c r="BW52" s="195">
        <f t="shared" si="27"/>
        <v>0</v>
      </c>
      <c r="BX52" s="195">
        <f t="shared" si="27"/>
        <v>0</v>
      </c>
      <c r="BY52" s="332">
        <f t="shared" si="27"/>
        <v>213</v>
      </c>
      <c r="BZ52" s="195">
        <f t="shared" si="27"/>
        <v>0</v>
      </c>
      <c r="CA52" s="195">
        <f t="shared" si="27"/>
        <v>0</v>
      </c>
      <c r="CB52" s="195">
        <f t="shared" si="27"/>
        <v>0</v>
      </c>
      <c r="CC52" s="195">
        <f t="shared" si="27"/>
        <v>0</v>
      </c>
      <c r="CD52" s="195">
        <f t="shared" ref="CD52:CH52" si="28">CD53</f>
        <v>0</v>
      </c>
      <c r="CE52" s="195">
        <f t="shared" si="28"/>
        <v>0</v>
      </c>
      <c r="CF52" s="195">
        <f t="shared" si="28"/>
        <v>0</v>
      </c>
      <c r="CG52" s="195">
        <f t="shared" si="28"/>
        <v>0</v>
      </c>
      <c r="CH52" s="195">
        <f t="shared" si="28"/>
        <v>0</v>
      </c>
    </row>
    <row r="53" spans="1:86" s="200" customFormat="1" ht="31.5" outlineLevel="1" x14ac:dyDescent="0.25">
      <c r="A53" s="197" t="s">
        <v>118</v>
      </c>
      <c r="B53" s="11" t="s">
        <v>119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>
        <f>SUM(Q54:Q58)</f>
        <v>0</v>
      </c>
      <c r="R53" s="198">
        <f t="shared" ref="R53:CC53" si="29">SUM(R54:R58)</f>
        <v>0</v>
      </c>
      <c r="S53" s="198">
        <f t="shared" si="29"/>
        <v>0</v>
      </c>
      <c r="T53" s="198">
        <f t="shared" si="29"/>
        <v>0</v>
      </c>
      <c r="U53" s="319">
        <f t="shared" si="29"/>
        <v>347</v>
      </c>
      <c r="V53" s="198">
        <f t="shared" si="29"/>
        <v>0</v>
      </c>
      <c r="W53" s="198">
        <f t="shared" si="29"/>
        <v>0</v>
      </c>
      <c r="X53" s="198">
        <f t="shared" si="29"/>
        <v>0</v>
      </c>
      <c r="Y53" s="198">
        <f t="shared" si="29"/>
        <v>0</v>
      </c>
      <c r="Z53" s="198">
        <f t="shared" si="29"/>
        <v>0</v>
      </c>
      <c r="AA53" s="198">
        <f t="shared" si="29"/>
        <v>0</v>
      </c>
      <c r="AB53" s="198">
        <f t="shared" si="29"/>
        <v>0</v>
      </c>
      <c r="AC53" s="198">
        <f t="shared" si="29"/>
        <v>0</v>
      </c>
      <c r="AD53" s="198">
        <f t="shared" si="29"/>
        <v>0</v>
      </c>
      <c r="AE53" s="198">
        <f t="shared" si="29"/>
        <v>0</v>
      </c>
      <c r="AF53" s="198">
        <f t="shared" si="29"/>
        <v>0</v>
      </c>
      <c r="AG53" s="198">
        <f t="shared" si="29"/>
        <v>0</v>
      </c>
      <c r="AH53" s="198">
        <f t="shared" si="29"/>
        <v>0</v>
      </c>
      <c r="AI53" s="319">
        <f t="shared" si="29"/>
        <v>287</v>
      </c>
      <c r="AJ53" s="198">
        <f t="shared" si="29"/>
        <v>0</v>
      </c>
      <c r="AK53" s="198">
        <f t="shared" si="29"/>
        <v>0</v>
      </c>
      <c r="AL53" s="198">
        <f t="shared" si="29"/>
        <v>0</v>
      </c>
      <c r="AM53" s="198">
        <f t="shared" si="29"/>
        <v>0</v>
      </c>
      <c r="AN53" s="198">
        <f t="shared" si="29"/>
        <v>0</v>
      </c>
      <c r="AO53" s="198">
        <f t="shared" si="29"/>
        <v>0</v>
      </c>
      <c r="AP53" s="198">
        <f t="shared" si="29"/>
        <v>0</v>
      </c>
      <c r="AQ53" s="198">
        <f t="shared" si="29"/>
        <v>0</v>
      </c>
      <c r="AR53" s="198">
        <f t="shared" si="29"/>
        <v>0</v>
      </c>
      <c r="AS53" s="198">
        <f t="shared" si="29"/>
        <v>0</v>
      </c>
      <c r="AT53" s="198">
        <f t="shared" si="29"/>
        <v>0</v>
      </c>
      <c r="AU53" s="198">
        <f t="shared" si="29"/>
        <v>0</v>
      </c>
      <c r="AV53" s="198">
        <f t="shared" si="29"/>
        <v>0</v>
      </c>
      <c r="AW53" s="333">
        <f t="shared" si="29"/>
        <v>171</v>
      </c>
      <c r="AX53" s="333">
        <f t="shared" si="29"/>
        <v>0</v>
      </c>
      <c r="AY53" s="198">
        <f t="shared" si="29"/>
        <v>0</v>
      </c>
      <c r="AZ53" s="198">
        <f t="shared" si="29"/>
        <v>0</v>
      </c>
      <c r="BA53" s="198">
        <f t="shared" si="29"/>
        <v>0</v>
      </c>
      <c r="BB53" s="198">
        <f t="shared" si="29"/>
        <v>0</v>
      </c>
      <c r="BC53" s="198">
        <f t="shared" si="29"/>
        <v>0</v>
      </c>
      <c r="BD53" s="198">
        <f t="shared" si="29"/>
        <v>0</v>
      </c>
      <c r="BE53" s="198">
        <f t="shared" si="29"/>
        <v>0</v>
      </c>
      <c r="BF53" s="198">
        <f t="shared" si="29"/>
        <v>0</v>
      </c>
      <c r="BG53" s="198">
        <f t="shared" si="29"/>
        <v>0</v>
      </c>
      <c r="BH53" s="198">
        <f t="shared" si="29"/>
        <v>0</v>
      </c>
      <c r="BI53" s="198">
        <f t="shared" si="29"/>
        <v>0</v>
      </c>
      <c r="BJ53" s="198">
        <f t="shared" si="29"/>
        <v>0</v>
      </c>
      <c r="BK53" s="333">
        <f t="shared" si="29"/>
        <v>201</v>
      </c>
      <c r="BL53" s="333">
        <f t="shared" si="29"/>
        <v>0</v>
      </c>
      <c r="BM53" s="198">
        <f t="shared" si="29"/>
        <v>0</v>
      </c>
      <c r="BN53" s="198">
        <f t="shared" si="29"/>
        <v>0</v>
      </c>
      <c r="BO53" s="198">
        <f t="shared" si="29"/>
        <v>0</v>
      </c>
      <c r="BP53" s="198">
        <f t="shared" si="29"/>
        <v>0</v>
      </c>
      <c r="BQ53" s="198">
        <f t="shared" si="29"/>
        <v>0</v>
      </c>
      <c r="BR53" s="198">
        <f t="shared" si="29"/>
        <v>0</v>
      </c>
      <c r="BS53" s="198">
        <f t="shared" si="29"/>
        <v>0</v>
      </c>
      <c r="BT53" s="198">
        <f t="shared" si="29"/>
        <v>0</v>
      </c>
      <c r="BU53" s="198">
        <f t="shared" si="29"/>
        <v>0</v>
      </c>
      <c r="BV53" s="198">
        <f t="shared" si="29"/>
        <v>0</v>
      </c>
      <c r="BW53" s="198">
        <f t="shared" si="29"/>
        <v>0</v>
      </c>
      <c r="BX53" s="198">
        <f t="shared" si="29"/>
        <v>0</v>
      </c>
      <c r="BY53" s="333">
        <f t="shared" si="29"/>
        <v>213</v>
      </c>
      <c r="BZ53" s="198">
        <f t="shared" si="29"/>
        <v>0</v>
      </c>
      <c r="CA53" s="198">
        <f t="shared" si="29"/>
        <v>0</v>
      </c>
      <c r="CB53" s="198">
        <f t="shared" si="29"/>
        <v>0</v>
      </c>
      <c r="CC53" s="198">
        <f t="shared" si="29"/>
        <v>0</v>
      </c>
      <c r="CD53" s="198">
        <f t="shared" ref="CD53:CH53" si="30">SUM(CD54:CD58)</f>
        <v>0</v>
      </c>
      <c r="CE53" s="198">
        <f t="shared" si="30"/>
        <v>0</v>
      </c>
      <c r="CF53" s="198">
        <f t="shared" si="30"/>
        <v>0</v>
      </c>
      <c r="CG53" s="198">
        <f t="shared" si="30"/>
        <v>0</v>
      </c>
      <c r="CH53" s="198">
        <f t="shared" si="30"/>
        <v>0</v>
      </c>
    </row>
    <row r="54" spans="1:86" s="200" customFormat="1" outlineLevel="1" x14ac:dyDescent="0.25">
      <c r="A54" s="14" t="s">
        <v>701</v>
      </c>
      <c r="B54" s="421" t="s">
        <v>706</v>
      </c>
      <c r="C54" s="390" t="s">
        <v>728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399" t="s">
        <v>525</v>
      </c>
      <c r="Q54" s="198">
        <f>'Ф5 2022'!AA54</f>
        <v>0</v>
      </c>
      <c r="R54" s="198">
        <f>'Ф5 2022'!AB54</f>
        <v>0</v>
      </c>
      <c r="S54" s="198">
        <f>'Ф5 2022'!AC54</f>
        <v>0</v>
      </c>
      <c r="T54" s="198">
        <f>'Ф5 2022'!AD54</f>
        <v>0</v>
      </c>
      <c r="U54" s="319">
        <f>'Ф5 2022'!AE54</f>
        <v>347</v>
      </c>
      <c r="V54" s="198">
        <f>'Ф5 2022'!AF54</f>
        <v>0</v>
      </c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319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333"/>
      <c r="AX54" s="333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333"/>
      <c r="BL54" s="333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333"/>
      <c r="BZ54" s="198"/>
      <c r="CA54" s="198"/>
      <c r="CB54" s="198"/>
      <c r="CC54" s="198"/>
      <c r="CD54" s="198"/>
      <c r="CE54" s="198"/>
      <c r="CF54" s="198"/>
      <c r="CG54" s="198"/>
      <c r="CH54" s="212"/>
    </row>
    <row r="55" spans="1:86" s="200" customFormat="1" outlineLevel="1" x14ac:dyDescent="0.25">
      <c r="A55" s="14" t="s">
        <v>702</v>
      </c>
      <c r="B55" s="421" t="s">
        <v>706</v>
      </c>
      <c r="C55" s="390" t="s">
        <v>729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399" t="s">
        <v>525</v>
      </c>
      <c r="AE55" s="198">
        <f>'Ф5 2023'!AA55</f>
        <v>0</v>
      </c>
      <c r="AF55" s="198">
        <f>'Ф5 2023'!AB55</f>
        <v>0</v>
      </c>
      <c r="AG55" s="198">
        <f>'Ф5 2023'!AC55</f>
        <v>0</v>
      </c>
      <c r="AH55" s="198">
        <f>'Ф5 2023'!AD55</f>
        <v>0</v>
      </c>
      <c r="AI55" s="319">
        <f>'Ф5 2023'!AE55</f>
        <v>287</v>
      </c>
      <c r="AJ55" s="198">
        <f>'Ф5 2023'!AF55</f>
        <v>0</v>
      </c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333"/>
      <c r="AX55" s="333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333"/>
      <c r="BL55" s="333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333"/>
      <c r="BZ55" s="198"/>
      <c r="CA55" s="198"/>
      <c r="CB55" s="198"/>
      <c r="CC55" s="198"/>
      <c r="CD55" s="198"/>
      <c r="CE55" s="198"/>
      <c r="CF55" s="198"/>
      <c r="CG55" s="198"/>
      <c r="CH55" s="212"/>
    </row>
    <row r="56" spans="1:86" s="200" customFormat="1" outlineLevel="1" x14ac:dyDescent="0.25">
      <c r="A56" s="14" t="s">
        <v>703</v>
      </c>
      <c r="B56" s="421" t="s">
        <v>706</v>
      </c>
      <c r="C56" s="390" t="s">
        <v>730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399" t="s">
        <v>525</v>
      </c>
      <c r="AS56" s="198">
        <f>'Ф5 2024'!AA56</f>
        <v>0</v>
      </c>
      <c r="AT56" s="198">
        <f>'Ф5 2024'!AB56</f>
        <v>0</v>
      </c>
      <c r="AU56" s="198">
        <f>'Ф5 2024'!AC56</f>
        <v>0</v>
      </c>
      <c r="AV56" s="198">
        <f>'Ф5 2024'!AD56</f>
        <v>0</v>
      </c>
      <c r="AW56" s="333">
        <f>'Ф5 2024'!AE56</f>
        <v>171</v>
      </c>
      <c r="AX56" s="333">
        <f>'Ф5 2024'!AF56</f>
        <v>0</v>
      </c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333"/>
      <c r="BL56" s="333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333"/>
      <c r="BZ56" s="198"/>
      <c r="CA56" s="198"/>
      <c r="CB56" s="198"/>
      <c r="CC56" s="198"/>
      <c r="CD56" s="198"/>
      <c r="CE56" s="198"/>
      <c r="CF56" s="198"/>
      <c r="CG56" s="198"/>
      <c r="CH56" s="212"/>
    </row>
    <row r="57" spans="1:86" s="200" customFormat="1" outlineLevel="1" x14ac:dyDescent="0.25">
      <c r="A57" s="14" t="s">
        <v>704</v>
      </c>
      <c r="B57" s="421" t="s">
        <v>706</v>
      </c>
      <c r="C57" s="390" t="s">
        <v>731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333"/>
      <c r="AX57" s="333"/>
      <c r="AY57" s="198"/>
      <c r="AZ57" s="198"/>
      <c r="BA57" s="198"/>
      <c r="BB57" s="198"/>
      <c r="BC57" s="198"/>
      <c r="BD57" s="198"/>
      <c r="BE57" s="198"/>
      <c r="BF57" s="399" t="s">
        <v>525</v>
      </c>
      <c r="BG57" s="198">
        <f>'Ф5 2025'!AA57</f>
        <v>0</v>
      </c>
      <c r="BH57" s="198">
        <f>'Ф5 2025'!AB57</f>
        <v>0</v>
      </c>
      <c r="BI57" s="198">
        <f>'Ф5 2025'!AC57</f>
        <v>0</v>
      </c>
      <c r="BJ57" s="198">
        <f>'Ф5 2025'!AD57</f>
        <v>0</v>
      </c>
      <c r="BK57" s="333">
        <f>'Ф5 2025'!AE57</f>
        <v>201</v>
      </c>
      <c r="BL57" s="333">
        <f>'Ф5 2025'!AF57</f>
        <v>0</v>
      </c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333"/>
      <c r="BZ57" s="198"/>
      <c r="CA57" s="198"/>
      <c r="CB57" s="198"/>
      <c r="CC57" s="198"/>
      <c r="CD57" s="198"/>
      <c r="CE57" s="198"/>
      <c r="CF57" s="198"/>
      <c r="CG57" s="198"/>
      <c r="CH57" s="212"/>
    </row>
    <row r="58" spans="1:86" s="200" customFormat="1" outlineLevel="1" x14ac:dyDescent="0.25">
      <c r="A58" s="14" t="s">
        <v>705</v>
      </c>
      <c r="B58" s="421" t="s">
        <v>706</v>
      </c>
      <c r="C58" s="390" t="s">
        <v>732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333"/>
      <c r="AX58" s="333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333"/>
      <c r="BL58" s="333"/>
      <c r="BM58" s="198"/>
      <c r="BN58" s="198"/>
      <c r="BO58" s="198"/>
      <c r="BP58" s="198"/>
      <c r="BQ58" s="198"/>
      <c r="BR58" s="198"/>
      <c r="BS58" s="198"/>
      <c r="BT58" s="399" t="s">
        <v>525</v>
      </c>
      <c r="BU58" s="198">
        <f>'Ф5 2026'!AA58</f>
        <v>0</v>
      </c>
      <c r="BV58" s="198">
        <f>'Ф5 2026'!AB58</f>
        <v>0</v>
      </c>
      <c r="BW58" s="198">
        <f>'Ф5 2026'!AC58</f>
        <v>0</v>
      </c>
      <c r="BX58" s="198">
        <f>'Ф5 2026'!AD58</f>
        <v>0</v>
      </c>
      <c r="BY58" s="333">
        <f>'Ф5 2026'!AE58</f>
        <v>213</v>
      </c>
      <c r="BZ58" s="198">
        <f>'Ф5 2026'!AF58</f>
        <v>0</v>
      </c>
      <c r="CA58" s="198"/>
      <c r="CB58" s="198"/>
      <c r="CC58" s="198"/>
      <c r="CD58" s="198"/>
      <c r="CE58" s="198"/>
      <c r="CF58" s="198"/>
      <c r="CG58" s="198"/>
      <c r="CH58" s="212"/>
    </row>
    <row r="59" spans="1:86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333"/>
      <c r="AX59" s="333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333"/>
      <c r="BL59" s="333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333"/>
      <c r="BZ59" s="198"/>
      <c r="CA59" s="198"/>
      <c r="CB59" s="198"/>
      <c r="CC59" s="198"/>
      <c r="CD59" s="198"/>
      <c r="CE59" s="198"/>
      <c r="CF59" s="198"/>
      <c r="CG59" s="198"/>
      <c r="CH59" s="212"/>
    </row>
    <row r="60" spans="1:86" s="200" customFormat="1" ht="31.5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333"/>
      <c r="AX60" s="333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333"/>
      <c r="BL60" s="333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333"/>
      <c r="BZ60" s="198"/>
      <c r="CA60" s="198"/>
      <c r="CB60" s="198"/>
      <c r="CC60" s="198"/>
      <c r="CD60" s="198"/>
      <c r="CE60" s="198"/>
      <c r="CF60" s="198"/>
      <c r="CG60" s="198"/>
      <c r="CH60" s="212"/>
    </row>
    <row r="61" spans="1:86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333"/>
      <c r="AX61" s="333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333"/>
      <c r="BL61" s="333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333"/>
      <c r="BZ61" s="198"/>
      <c r="CA61" s="198"/>
      <c r="CB61" s="198"/>
      <c r="CC61" s="198"/>
      <c r="CD61" s="198"/>
      <c r="CE61" s="198"/>
      <c r="CF61" s="198"/>
      <c r="CG61" s="198"/>
      <c r="CH61" s="212"/>
    </row>
    <row r="62" spans="1:86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AV62" si="31">E63</f>
        <v>0</v>
      </c>
      <c r="F62" s="198">
        <f t="shared" si="31"/>
        <v>0</v>
      </c>
      <c r="G62" s="198">
        <f t="shared" si="31"/>
        <v>0</v>
      </c>
      <c r="H62" s="198">
        <f t="shared" si="31"/>
        <v>0</v>
      </c>
      <c r="I62" s="198">
        <f t="shared" si="31"/>
        <v>0</v>
      </c>
      <c r="J62" s="198">
        <f t="shared" si="31"/>
        <v>0</v>
      </c>
      <c r="K62" s="198">
        <f t="shared" si="31"/>
        <v>0</v>
      </c>
      <c r="L62" s="198">
        <f t="shared" si="31"/>
        <v>0</v>
      </c>
      <c r="M62" s="198">
        <f t="shared" si="31"/>
        <v>0</v>
      </c>
      <c r="N62" s="198">
        <f t="shared" si="31"/>
        <v>0</v>
      </c>
      <c r="O62" s="198">
        <f t="shared" si="31"/>
        <v>0</v>
      </c>
      <c r="P62" s="198">
        <f t="shared" si="31"/>
        <v>0</v>
      </c>
      <c r="Q62" s="198">
        <f t="shared" si="31"/>
        <v>0</v>
      </c>
      <c r="R62" s="198">
        <f t="shared" si="31"/>
        <v>0</v>
      </c>
      <c r="S62" s="198">
        <f t="shared" si="31"/>
        <v>0</v>
      </c>
      <c r="T62" s="198">
        <f t="shared" si="31"/>
        <v>0</v>
      </c>
      <c r="U62" s="198"/>
      <c r="V62" s="198">
        <f t="shared" si="31"/>
        <v>0</v>
      </c>
      <c r="W62" s="198">
        <f t="shared" si="31"/>
        <v>0</v>
      </c>
      <c r="X62" s="198">
        <f t="shared" si="31"/>
        <v>0</v>
      </c>
      <c r="Y62" s="198">
        <f t="shared" si="31"/>
        <v>0</v>
      </c>
      <c r="Z62" s="198">
        <f t="shared" si="31"/>
        <v>0</v>
      </c>
      <c r="AA62" s="198">
        <f t="shared" si="31"/>
        <v>0</v>
      </c>
      <c r="AB62" s="198"/>
      <c r="AC62" s="198">
        <f t="shared" si="31"/>
        <v>0</v>
      </c>
      <c r="AD62" s="198">
        <f t="shared" si="31"/>
        <v>0</v>
      </c>
      <c r="AE62" s="198">
        <f t="shared" si="31"/>
        <v>0</v>
      </c>
      <c r="AF62" s="198">
        <f t="shared" si="31"/>
        <v>0</v>
      </c>
      <c r="AG62" s="198">
        <f t="shared" si="31"/>
        <v>0</v>
      </c>
      <c r="AH62" s="198">
        <f t="shared" si="31"/>
        <v>0</v>
      </c>
      <c r="AI62" s="198"/>
      <c r="AJ62" s="198">
        <f t="shared" si="31"/>
        <v>0</v>
      </c>
      <c r="AK62" s="198"/>
      <c r="AL62" s="198"/>
      <c r="AM62" s="198"/>
      <c r="AN62" s="198"/>
      <c r="AO62" s="198"/>
      <c r="AP62" s="319"/>
      <c r="AQ62" s="319"/>
      <c r="AR62" s="198">
        <f t="shared" si="31"/>
        <v>0</v>
      </c>
      <c r="AS62" s="198">
        <f t="shared" si="31"/>
        <v>0</v>
      </c>
      <c r="AT62" s="198">
        <f t="shared" si="31"/>
        <v>0</v>
      </c>
      <c r="AU62" s="198">
        <f t="shared" si="31"/>
        <v>0</v>
      </c>
      <c r="AV62" s="198">
        <f t="shared" si="31"/>
        <v>0</v>
      </c>
      <c r="AW62" s="333"/>
      <c r="AX62" s="333">
        <f t="shared" ref="AX62" si="32">AX63</f>
        <v>0</v>
      </c>
      <c r="AY62" s="198"/>
      <c r="AZ62" s="198"/>
      <c r="BA62" s="198"/>
      <c r="BB62" s="198"/>
      <c r="BC62" s="198"/>
      <c r="BD62" s="198"/>
      <c r="BE62" s="198"/>
      <c r="BF62" s="198">
        <f t="shared" ref="BF62" si="33">BF63</f>
        <v>0</v>
      </c>
      <c r="BG62" s="198">
        <f t="shared" ref="BG62" si="34">BG63</f>
        <v>0</v>
      </c>
      <c r="BH62" s="198">
        <f t="shared" ref="BH62" si="35">BH63</f>
        <v>0</v>
      </c>
      <c r="BI62" s="198">
        <f t="shared" ref="BI62" si="36">BI63</f>
        <v>0</v>
      </c>
      <c r="BJ62" s="198">
        <f t="shared" ref="BJ62" si="37">BJ63</f>
        <v>0</v>
      </c>
      <c r="BK62" s="333"/>
      <c r="BL62" s="333">
        <f t="shared" ref="BL62" si="38">BL63</f>
        <v>0</v>
      </c>
      <c r="BM62" s="198"/>
      <c r="BN62" s="198"/>
      <c r="BO62" s="198"/>
      <c r="BP62" s="198"/>
      <c r="BQ62" s="198"/>
      <c r="BR62" s="198"/>
      <c r="BS62" s="198"/>
      <c r="BT62" s="198">
        <f t="shared" ref="BT62:BX62" si="39">BT63</f>
        <v>0</v>
      </c>
      <c r="BU62" s="198">
        <f t="shared" si="39"/>
        <v>0</v>
      </c>
      <c r="BV62" s="198">
        <f t="shared" si="39"/>
        <v>0</v>
      </c>
      <c r="BW62" s="198">
        <f t="shared" si="39"/>
        <v>0</v>
      </c>
      <c r="BX62" s="198">
        <f t="shared" si="39"/>
        <v>0</v>
      </c>
      <c r="BY62" s="333"/>
      <c r="BZ62" s="198">
        <f t="shared" ref="BZ62" si="40">BZ63</f>
        <v>0</v>
      </c>
      <c r="CA62" s="198"/>
      <c r="CB62" s="198"/>
      <c r="CC62" s="198"/>
      <c r="CD62" s="198"/>
      <c r="CE62" s="198"/>
      <c r="CF62" s="198"/>
      <c r="CG62" s="198"/>
      <c r="CH62" s="212"/>
    </row>
    <row r="63" spans="1:86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68"/>
      <c r="AQ63" s="368"/>
      <c r="AR63" s="351"/>
      <c r="AS63" s="351"/>
      <c r="AT63" s="351"/>
      <c r="AU63" s="351"/>
      <c r="AV63" s="351"/>
      <c r="AW63" s="367"/>
      <c r="AX63" s="367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67"/>
      <c r="BL63" s="367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67"/>
      <c r="BZ63" s="351"/>
      <c r="CA63" s="351"/>
      <c r="CB63" s="351"/>
      <c r="CC63" s="351"/>
      <c r="CD63" s="351"/>
      <c r="CE63" s="351"/>
      <c r="CF63" s="351"/>
      <c r="CG63" s="351"/>
      <c r="CH63" s="351"/>
    </row>
    <row r="64" spans="1:86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P64" s="327"/>
      <c r="AQ64" s="327"/>
      <c r="AW64" s="477"/>
      <c r="AX64" s="477"/>
      <c r="BK64" s="477"/>
      <c r="BL64" s="477"/>
      <c r="BY64" s="477"/>
    </row>
    <row r="65" spans="1:86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  <c r="AP65" s="328"/>
      <c r="AQ65" s="328"/>
      <c r="AW65" s="478"/>
      <c r="AX65" s="478"/>
      <c r="BK65" s="478"/>
      <c r="BL65" s="478"/>
      <c r="BY65" s="478"/>
    </row>
    <row r="66" spans="1:86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AP66" s="328"/>
      <c r="AQ66" s="328"/>
      <c r="AW66" s="478"/>
      <c r="AX66" s="478"/>
      <c r="BK66" s="478"/>
      <c r="BL66" s="478"/>
      <c r="BY66" s="478"/>
    </row>
    <row r="67" spans="1:86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  <c r="AP67" s="329"/>
      <c r="AQ67" s="329"/>
      <c r="AW67" s="479"/>
      <c r="AX67" s="479"/>
      <c r="BK67" s="479"/>
      <c r="BL67" s="479"/>
      <c r="BY67" s="479"/>
    </row>
    <row r="68" spans="1:86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  <c r="AP68" s="328"/>
      <c r="AQ68" s="328"/>
      <c r="AW68" s="478"/>
      <c r="AX68" s="478"/>
      <c r="BK68" s="478"/>
      <c r="BL68" s="478"/>
      <c r="BY68" s="478"/>
    </row>
    <row r="69" spans="1:86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  <c r="AP69" s="328"/>
      <c r="AQ69" s="328"/>
      <c r="AW69" s="478"/>
      <c r="AX69" s="478"/>
      <c r="BK69" s="478"/>
      <c r="BL69" s="478"/>
      <c r="BY69" s="478"/>
    </row>
    <row r="70" spans="1:86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  <c r="AP70" s="330"/>
      <c r="AQ70" s="330"/>
      <c r="AW70" s="480"/>
      <c r="AX70" s="480"/>
      <c r="BK70" s="480"/>
      <c r="BL70" s="480"/>
      <c r="BY70" s="480"/>
    </row>
    <row r="71" spans="1:86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  <c r="AP71" s="329"/>
      <c r="AQ71" s="329"/>
      <c r="AW71" s="479"/>
      <c r="AX71" s="479"/>
      <c r="BK71" s="479"/>
      <c r="BL71" s="479"/>
      <c r="BY71" s="479"/>
    </row>
    <row r="72" spans="1:86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  <c r="AP72" s="329"/>
      <c r="AQ72" s="329"/>
      <c r="AW72" s="479"/>
      <c r="AX72" s="479"/>
      <c r="BK72" s="479"/>
      <c r="BL72" s="479"/>
      <c r="BY72" s="479"/>
    </row>
    <row r="73" spans="1:86" s="310" customFormat="1" collapsed="1" x14ac:dyDescent="0.25">
      <c r="A73" s="20" t="s">
        <v>528</v>
      </c>
      <c r="B73" s="265" t="s">
        <v>529</v>
      </c>
      <c r="C73" s="307"/>
      <c r="D73" s="307"/>
      <c r="E73" s="308"/>
      <c r="F73" s="308"/>
      <c r="G73" s="307"/>
      <c r="H73" s="307"/>
      <c r="I73" s="307"/>
      <c r="J73" s="309"/>
      <c r="K73" s="307"/>
      <c r="L73" s="307"/>
      <c r="M73" s="309"/>
      <c r="N73" s="307"/>
      <c r="O73" s="307"/>
      <c r="P73" s="307"/>
      <c r="Q73" s="307">
        <f>SUM(Q74:Q75)</f>
        <v>0</v>
      </c>
      <c r="R73" s="307">
        <f t="shared" ref="R73:CC73" si="41">SUM(R74:R75)</f>
        <v>0</v>
      </c>
      <c r="S73" s="307">
        <f t="shared" si="41"/>
        <v>0</v>
      </c>
      <c r="T73" s="307">
        <f t="shared" si="41"/>
        <v>0</v>
      </c>
      <c r="U73" s="307">
        <f t="shared" si="41"/>
        <v>0</v>
      </c>
      <c r="V73" s="307">
        <f t="shared" si="41"/>
        <v>0</v>
      </c>
      <c r="W73" s="307">
        <f t="shared" si="41"/>
        <v>0</v>
      </c>
      <c r="X73" s="307">
        <f t="shared" si="41"/>
        <v>0</v>
      </c>
      <c r="Y73" s="307">
        <f t="shared" si="41"/>
        <v>0</v>
      </c>
      <c r="Z73" s="307">
        <f t="shared" si="41"/>
        <v>0</v>
      </c>
      <c r="AA73" s="307">
        <f t="shared" si="41"/>
        <v>0</v>
      </c>
      <c r="AB73" s="307">
        <f t="shared" si="41"/>
        <v>0</v>
      </c>
      <c r="AC73" s="307">
        <f t="shared" si="41"/>
        <v>0</v>
      </c>
      <c r="AD73" s="307">
        <f t="shared" si="41"/>
        <v>0</v>
      </c>
      <c r="AE73" s="307">
        <f t="shared" si="41"/>
        <v>0</v>
      </c>
      <c r="AF73" s="307">
        <f t="shared" si="41"/>
        <v>0</v>
      </c>
      <c r="AG73" s="307">
        <f t="shared" si="41"/>
        <v>0</v>
      </c>
      <c r="AH73" s="307">
        <f t="shared" si="41"/>
        <v>0</v>
      </c>
      <c r="AI73" s="307">
        <f t="shared" si="41"/>
        <v>0</v>
      </c>
      <c r="AJ73" s="307">
        <f t="shared" si="41"/>
        <v>0</v>
      </c>
      <c r="AK73" s="307">
        <f t="shared" si="41"/>
        <v>0</v>
      </c>
      <c r="AL73" s="307">
        <f t="shared" si="41"/>
        <v>0</v>
      </c>
      <c r="AM73" s="307">
        <f t="shared" si="41"/>
        <v>0</v>
      </c>
      <c r="AN73" s="307">
        <f t="shared" si="41"/>
        <v>0</v>
      </c>
      <c r="AO73" s="307">
        <f t="shared" si="41"/>
        <v>0</v>
      </c>
      <c r="AP73" s="307">
        <f t="shared" si="41"/>
        <v>0</v>
      </c>
      <c r="AQ73" s="307">
        <f t="shared" si="41"/>
        <v>0</v>
      </c>
      <c r="AR73" s="307">
        <f t="shared" si="41"/>
        <v>0</v>
      </c>
      <c r="AS73" s="307">
        <f t="shared" si="41"/>
        <v>0</v>
      </c>
      <c r="AT73" s="307">
        <f t="shared" si="41"/>
        <v>0</v>
      </c>
      <c r="AU73" s="307">
        <f t="shared" si="41"/>
        <v>0</v>
      </c>
      <c r="AV73" s="307">
        <f t="shared" si="41"/>
        <v>0</v>
      </c>
      <c r="AW73" s="481">
        <f t="shared" si="41"/>
        <v>0</v>
      </c>
      <c r="AX73" s="481">
        <f t="shared" si="41"/>
        <v>1</v>
      </c>
      <c r="AY73" s="307">
        <f t="shared" si="41"/>
        <v>0</v>
      </c>
      <c r="AZ73" s="307">
        <f t="shared" si="41"/>
        <v>0</v>
      </c>
      <c r="BA73" s="307">
        <f t="shared" si="41"/>
        <v>0</v>
      </c>
      <c r="BB73" s="307">
        <f t="shared" si="41"/>
        <v>0</v>
      </c>
      <c r="BC73" s="307">
        <f t="shared" si="41"/>
        <v>0</v>
      </c>
      <c r="BD73" s="307">
        <f t="shared" si="41"/>
        <v>0</v>
      </c>
      <c r="BE73" s="307">
        <f t="shared" si="41"/>
        <v>0</v>
      </c>
      <c r="BF73" s="307">
        <f t="shared" si="41"/>
        <v>0</v>
      </c>
      <c r="BG73" s="307">
        <f t="shared" si="41"/>
        <v>0</v>
      </c>
      <c r="BH73" s="307">
        <f t="shared" si="41"/>
        <v>0</v>
      </c>
      <c r="BI73" s="307">
        <f t="shared" si="41"/>
        <v>0</v>
      </c>
      <c r="BJ73" s="307">
        <f t="shared" si="41"/>
        <v>0</v>
      </c>
      <c r="BK73" s="481">
        <f t="shared" si="41"/>
        <v>0</v>
      </c>
      <c r="BL73" s="481">
        <f t="shared" si="41"/>
        <v>1</v>
      </c>
      <c r="BM73" s="307">
        <f t="shared" si="41"/>
        <v>0</v>
      </c>
      <c r="BN73" s="307">
        <f t="shared" si="41"/>
        <v>0</v>
      </c>
      <c r="BO73" s="307">
        <f t="shared" si="41"/>
        <v>0</v>
      </c>
      <c r="BP73" s="307">
        <f t="shared" si="41"/>
        <v>0</v>
      </c>
      <c r="BQ73" s="307">
        <f t="shared" si="41"/>
        <v>0</v>
      </c>
      <c r="BR73" s="307">
        <f t="shared" si="41"/>
        <v>0</v>
      </c>
      <c r="BS73" s="307">
        <f t="shared" si="41"/>
        <v>0</v>
      </c>
      <c r="BT73" s="307">
        <f t="shared" si="41"/>
        <v>0</v>
      </c>
      <c r="BU73" s="307">
        <f t="shared" si="41"/>
        <v>0</v>
      </c>
      <c r="BV73" s="307">
        <f t="shared" si="41"/>
        <v>0</v>
      </c>
      <c r="BW73" s="307">
        <f t="shared" si="41"/>
        <v>0</v>
      </c>
      <c r="BX73" s="307">
        <f t="shared" si="41"/>
        <v>0</v>
      </c>
      <c r="BY73" s="481">
        <f t="shared" si="41"/>
        <v>0</v>
      </c>
      <c r="BZ73" s="307">
        <f t="shared" si="41"/>
        <v>0</v>
      </c>
      <c r="CA73" s="307">
        <f t="shared" si="41"/>
        <v>0</v>
      </c>
      <c r="CB73" s="307">
        <f t="shared" si="41"/>
        <v>0</v>
      </c>
      <c r="CC73" s="307">
        <f t="shared" si="41"/>
        <v>0</v>
      </c>
      <c r="CD73" s="307">
        <f t="shared" ref="CD73:CH73" si="42">SUM(CD74:CD75)</f>
        <v>0</v>
      </c>
      <c r="CE73" s="307">
        <f t="shared" si="42"/>
        <v>0</v>
      </c>
      <c r="CF73" s="307">
        <f t="shared" si="42"/>
        <v>0</v>
      </c>
      <c r="CG73" s="307">
        <f t="shared" si="42"/>
        <v>0</v>
      </c>
      <c r="CH73" s="307">
        <f t="shared" si="42"/>
        <v>0</v>
      </c>
    </row>
    <row r="74" spans="1:86" s="345" customFormat="1" x14ac:dyDescent="0.25">
      <c r="A74" s="341" t="s">
        <v>530</v>
      </c>
      <c r="B74" s="419" t="s">
        <v>708</v>
      </c>
      <c r="C74" s="390" t="s">
        <v>733</v>
      </c>
      <c r="D74" s="358"/>
      <c r="E74" s="369"/>
      <c r="F74" s="369"/>
      <c r="G74" s="358"/>
      <c r="H74" s="358"/>
      <c r="I74" s="358"/>
      <c r="J74" s="363"/>
      <c r="K74" s="358"/>
      <c r="L74" s="358"/>
      <c r="M74" s="363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1"/>
      <c r="AE74" s="351">
        <v>0</v>
      </c>
      <c r="AF74" s="351">
        <v>0</v>
      </c>
      <c r="AG74" s="351">
        <v>0</v>
      </c>
      <c r="AH74" s="351">
        <v>0</v>
      </c>
      <c r="AI74" s="368"/>
      <c r="AJ74" s="366"/>
      <c r="AK74" s="351"/>
      <c r="AL74" s="351"/>
      <c r="AM74" s="351"/>
      <c r="AN74" s="351"/>
      <c r="AO74" s="351"/>
      <c r="AP74" s="368"/>
      <c r="AQ74" s="366"/>
      <c r="AR74" s="399" t="s">
        <v>525</v>
      </c>
      <c r="AS74" s="358">
        <f>'Ф5 2024'!AA74</f>
        <v>0</v>
      </c>
      <c r="AT74" s="358">
        <f>'Ф5 2024'!AB74</f>
        <v>0</v>
      </c>
      <c r="AU74" s="358">
        <f>'Ф5 2024'!AC74</f>
        <v>0</v>
      </c>
      <c r="AV74" s="358">
        <f>'Ф5 2024'!AD74</f>
        <v>0</v>
      </c>
      <c r="AW74" s="483">
        <f>'Ф5 2024'!AE74</f>
        <v>0</v>
      </c>
      <c r="AX74" s="483">
        <f>'Ф5 2024'!AF74</f>
        <v>1</v>
      </c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483"/>
      <c r="BL74" s="483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358"/>
      <c r="CG74" s="358"/>
      <c r="CH74" s="358"/>
    </row>
    <row r="75" spans="1:86" s="345" customFormat="1" x14ac:dyDescent="0.25">
      <c r="A75" s="341" t="s">
        <v>707</v>
      </c>
      <c r="B75" s="419" t="s">
        <v>709</v>
      </c>
      <c r="C75" s="390" t="s">
        <v>734</v>
      </c>
      <c r="D75" s="358"/>
      <c r="E75" s="369"/>
      <c r="F75" s="369"/>
      <c r="G75" s="358"/>
      <c r="H75" s="358"/>
      <c r="I75" s="358"/>
      <c r="J75" s="363"/>
      <c r="K75" s="358"/>
      <c r="L75" s="358"/>
      <c r="M75" s="363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1"/>
      <c r="AE75" s="351">
        <v>0</v>
      </c>
      <c r="AF75" s="351">
        <v>0</v>
      </c>
      <c r="AG75" s="351">
        <v>0</v>
      </c>
      <c r="AH75" s="351">
        <v>0</v>
      </c>
      <c r="AI75" s="368"/>
      <c r="AJ75" s="366"/>
      <c r="AK75" s="351"/>
      <c r="AL75" s="351"/>
      <c r="AM75" s="351"/>
      <c r="AN75" s="351"/>
      <c r="AO75" s="351"/>
      <c r="AP75" s="368"/>
      <c r="AQ75" s="366"/>
      <c r="AR75" s="358"/>
      <c r="AS75" s="358"/>
      <c r="AT75" s="358"/>
      <c r="AU75" s="358"/>
      <c r="AV75" s="358"/>
      <c r="AW75" s="483"/>
      <c r="AX75" s="483"/>
      <c r="AY75" s="358"/>
      <c r="AZ75" s="358"/>
      <c r="BA75" s="358"/>
      <c r="BB75" s="358"/>
      <c r="BC75" s="358"/>
      <c r="BD75" s="358"/>
      <c r="BE75" s="358"/>
      <c r="BF75" s="399" t="s">
        <v>525</v>
      </c>
      <c r="BG75" s="358">
        <f>'Ф5 2025'!AA75</f>
        <v>0</v>
      </c>
      <c r="BH75" s="358">
        <f>'Ф5 2025'!AB75</f>
        <v>0</v>
      </c>
      <c r="BI75" s="358">
        <f>'Ф5 2025'!AC75</f>
        <v>0</v>
      </c>
      <c r="BJ75" s="358">
        <f>'Ф5 2025'!AD75</f>
        <v>0</v>
      </c>
      <c r="BK75" s="483">
        <f>'Ф5 2025'!AE75</f>
        <v>0</v>
      </c>
      <c r="BL75" s="483">
        <f>'Ф5 2025'!AF75</f>
        <v>1</v>
      </c>
      <c r="BM75" s="358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58"/>
      <c r="CA75" s="358"/>
      <c r="CB75" s="358"/>
      <c r="CC75" s="358"/>
      <c r="CD75" s="358"/>
      <c r="CE75" s="358"/>
      <c r="CF75" s="358"/>
      <c r="CG75" s="358"/>
      <c r="CH75" s="358"/>
    </row>
    <row r="77" spans="1:86" x14ac:dyDescent="0.25">
      <c r="J77"/>
      <c r="K77" s="55"/>
      <c r="M77"/>
      <c r="N77" s="55"/>
    </row>
    <row r="78" spans="1:86" x14ac:dyDescent="0.25">
      <c r="J78"/>
      <c r="K78" s="55"/>
      <c r="M78"/>
      <c r="N78" s="55"/>
    </row>
    <row r="81" spans="1:36" ht="18.75" x14ac:dyDescent="0.25">
      <c r="B81" s="278" t="s">
        <v>77</v>
      </c>
      <c r="C81" s="279"/>
      <c r="D81" s="279"/>
      <c r="E81" s="279" t="s">
        <v>78</v>
      </c>
      <c r="P81" s="279" t="s">
        <v>668</v>
      </c>
    </row>
    <row r="82" spans="1:36" ht="18.75" x14ac:dyDescent="0.25">
      <c r="B82" s="278"/>
      <c r="C82" s="279"/>
      <c r="D82" s="279"/>
      <c r="E82" s="279"/>
    </row>
    <row r="83" spans="1:36" ht="18.75" x14ac:dyDescent="0.25">
      <c r="B83" s="278"/>
      <c r="C83" s="279"/>
      <c r="D83" s="279"/>
      <c r="E83" s="279"/>
    </row>
    <row r="86" spans="1:36" s="41" customFormat="1" x14ac:dyDescent="0.25">
      <c r="A86" s="613" t="s">
        <v>207</v>
      </c>
      <c r="B86" s="613"/>
      <c r="C86" s="613"/>
      <c r="D86" s="613"/>
      <c r="E86" s="613"/>
      <c r="F86" s="613"/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136"/>
      <c r="R86" s="161"/>
      <c r="S86" s="161"/>
      <c r="T86" s="161"/>
      <c r="U86" s="297"/>
      <c r="V86" s="161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</row>
    <row r="87" spans="1:36" s="41" customFormat="1" x14ac:dyDescent="0.25">
      <c r="A87" s="614" t="s">
        <v>208</v>
      </c>
      <c r="B87" s="614"/>
      <c r="C87" s="614"/>
      <c r="D87" s="614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139"/>
      <c r="R87" s="162"/>
      <c r="S87" s="162"/>
      <c r="T87" s="162"/>
      <c r="U87" s="298"/>
      <c r="V87" s="162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</row>
    <row r="88" spans="1:36" s="41" customFormat="1" x14ac:dyDescent="0.25">
      <c r="A88" s="614" t="s">
        <v>209</v>
      </c>
      <c r="B88" s="614"/>
      <c r="C88" s="614"/>
      <c r="D88" s="614"/>
      <c r="E88" s="614"/>
      <c r="F88" s="614"/>
      <c r="G88" s="614"/>
      <c r="H88" s="614"/>
      <c r="I88" s="614"/>
      <c r="J88" s="614"/>
      <c r="K88" s="614"/>
      <c r="L88" s="614"/>
      <c r="M88" s="614"/>
      <c r="N88" s="614"/>
      <c r="O88" s="614"/>
      <c r="P88" s="614"/>
      <c r="Q88" s="139"/>
      <c r="R88" s="162"/>
      <c r="S88" s="162"/>
      <c r="T88" s="162"/>
      <c r="U88" s="298"/>
      <c r="V88" s="162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</row>
    <row r="89" spans="1:36" s="41" customFormat="1" x14ac:dyDescent="0.25">
      <c r="A89" s="614" t="s">
        <v>210</v>
      </c>
      <c r="B89" s="614"/>
      <c r="C89" s="614"/>
      <c r="D89" s="614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  <c r="Q89" s="139"/>
      <c r="R89" s="162"/>
      <c r="S89" s="162"/>
      <c r="T89" s="162"/>
      <c r="U89" s="298"/>
      <c r="V89" s="162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</row>
  </sheetData>
  <mergeCells count="34">
    <mergeCell ref="D14:I14"/>
    <mergeCell ref="J14:O14"/>
    <mergeCell ref="P14:V14"/>
    <mergeCell ref="W14:AC14"/>
    <mergeCell ref="AD14:AJ14"/>
    <mergeCell ref="BM14:BS14"/>
    <mergeCell ref="CH11:CH15"/>
    <mergeCell ref="P12:AC13"/>
    <mergeCell ref="AD12:AQ13"/>
    <mergeCell ref="BF12:BS13"/>
    <mergeCell ref="AK14:AQ14"/>
    <mergeCell ref="BT12:CG13"/>
    <mergeCell ref="BT14:BZ14"/>
    <mergeCell ref="CA14:CG14"/>
    <mergeCell ref="AR12:BE13"/>
    <mergeCell ref="AR14:AX14"/>
    <mergeCell ref="AY14:BE14"/>
    <mergeCell ref="P11:CG11"/>
    <mergeCell ref="A86:P86"/>
    <mergeCell ref="A87:P87"/>
    <mergeCell ref="A88:P88"/>
    <mergeCell ref="A89:P89"/>
    <mergeCell ref="A1:CH1"/>
    <mergeCell ref="A3:CH3"/>
    <mergeCell ref="A4:CH4"/>
    <mergeCell ref="A6:CH6"/>
    <mergeCell ref="A8:CH8"/>
    <mergeCell ref="A9:CH9"/>
    <mergeCell ref="A10:AQ10"/>
    <mergeCell ref="A11:A15"/>
    <mergeCell ref="B11:B15"/>
    <mergeCell ref="C11:C15"/>
    <mergeCell ref="D11:O13"/>
    <mergeCell ref="BF14:BL14"/>
  </mergeCells>
  <pageMargins left="0.7" right="0.7" top="0.75" bottom="0.75" header="0.3" footer="0.3"/>
  <pageSetup paperSize="9"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C89"/>
  <sheetViews>
    <sheetView zoomScale="70" zoomScaleNormal="70" workbookViewId="0">
      <pane xSplit="10" ySplit="15" topLeftCell="CL45" activePane="bottomRight" state="frozen"/>
      <selection pane="topRight" activeCell="K1" sqref="K1"/>
      <selection pane="bottomLeft" activeCell="A16" sqref="A16"/>
      <selection pane="bottomRight" activeCell="J53" sqref="J53:J57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8.42578125" bestFit="1" customWidth="1"/>
    <col min="5" max="5" width="6.28515625" style="50" bestFit="1" customWidth="1"/>
    <col min="6" max="6" width="9.5703125" style="50" customWidth="1"/>
    <col min="7" max="7" width="9.85546875" customWidth="1"/>
    <col min="8" max="8" width="6.28515625" bestFit="1" customWidth="1"/>
    <col min="9" max="9" width="8.5703125" bestFit="1" customWidth="1"/>
    <col min="10" max="10" width="9.42578125" customWidth="1"/>
    <col min="11" max="11" width="12.140625" style="55" bestFit="1" customWidth="1"/>
    <col min="12" max="12" width="8.42578125" bestFit="1" customWidth="1"/>
    <col min="13" max="13" width="6.28515625" bestFit="1" customWidth="1"/>
    <col min="14" max="14" width="8.42578125" style="55" bestFit="1" customWidth="1"/>
    <col min="15" max="15" width="8.5703125" bestFit="1" customWidth="1"/>
    <col min="16" max="17" width="6.28515625" bestFit="1" customWidth="1"/>
    <col min="18" max="18" width="6.28515625" customWidth="1"/>
    <col min="19" max="19" width="6.28515625" bestFit="1" customWidth="1"/>
    <col min="20" max="21" width="6.28515625" hidden="1" customWidth="1" outlineLevel="1"/>
    <col min="22" max="23" width="7.28515625" hidden="1" customWidth="1" outlineLevel="1"/>
    <col min="24" max="29" width="6.28515625" hidden="1" customWidth="1" outlineLevel="1"/>
    <col min="30" max="31" width="7.28515625" hidden="1" customWidth="1" outlineLevel="1"/>
    <col min="32" max="32" width="8.42578125" hidden="1" customWidth="1" outlineLevel="1"/>
    <col min="33" max="35" width="6.28515625" hidden="1" customWidth="1" outlineLevel="1"/>
    <col min="36" max="36" width="6.28515625" bestFit="1" customWidth="1" collapsed="1"/>
    <col min="37" max="37" width="6.28515625" bestFit="1" customWidth="1"/>
    <col min="38" max="39" width="7.28515625" bestFit="1" customWidth="1"/>
    <col min="40" max="40" width="8.42578125" bestFit="1" customWidth="1"/>
    <col min="41" max="41" width="9" customWidth="1"/>
    <col min="42" max="42" width="6.28515625" customWidth="1"/>
    <col min="43" max="45" width="6.28515625" bestFit="1" customWidth="1"/>
    <col min="46" max="47" width="7.28515625" bestFit="1" customWidth="1"/>
    <col min="48" max="48" width="8" customWidth="1"/>
    <col min="49" max="49" width="6.28515625" bestFit="1" customWidth="1"/>
    <col min="50" max="50" width="6.28515625" customWidth="1"/>
    <col min="51" max="51" width="6.28515625" bestFit="1" customWidth="1"/>
    <col min="52" max="52" width="8.42578125" bestFit="1" customWidth="1"/>
    <col min="53" max="53" width="6.28515625" bestFit="1" customWidth="1"/>
    <col min="54" max="54" width="8.5703125" bestFit="1" customWidth="1"/>
    <col min="55" max="55" width="8.28515625" customWidth="1"/>
    <col min="56" max="56" width="6.28515625" bestFit="1" customWidth="1"/>
    <col min="57" max="57" width="9.28515625" customWidth="1"/>
    <col min="58" max="58" width="6.28515625" customWidth="1"/>
    <col min="59" max="59" width="5.85546875" customWidth="1"/>
    <col min="60" max="60" width="10.42578125" customWidth="1"/>
    <col min="61" max="61" width="5.7109375" bestFit="1" customWidth="1"/>
    <col min="62" max="62" width="9.140625" customWidth="1"/>
    <col min="63" max="63" width="7.28515625" bestFit="1" customWidth="1"/>
    <col min="64" max="65" width="5.7109375" bestFit="1" customWidth="1"/>
    <col min="66" max="66" width="6.42578125" customWidth="1"/>
    <col min="67" max="67" width="6.140625" bestFit="1" customWidth="1"/>
    <col min="68" max="69" width="5.7109375" bestFit="1" customWidth="1"/>
    <col min="70" max="70" width="8.140625" customWidth="1"/>
    <col min="71" max="71" width="8.5703125" customWidth="1"/>
    <col min="72" max="72" width="8.42578125" bestFit="1" customWidth="1"/>
    <col min="73" max="73" width="5.7109375" bestFit="1" customWidth="1"/>
    <col min="74" max="74" width="7.140625" customWidth="1"/>
    <col min="75" max="75" width="5.7109375" bestFit="1" customWidth="1"/>
    <col min="76" max="76" width="8.42578125" customWidth="1"/>
    <col min="77" max="77" width="5.85546875" bestFit="1" customWidth="1"/>
    <col min="78" max="79" width="8.5703125" bestFit="1" customWidth="1"/>
    <col min="80" max="80" width="8.42578125" bestFit="1" customWidth="1"/>
    <col min="81" max="81" width="5.7109375" bestFit="1" customWidth="1"/>
    <col min="82" max="82" width="5.7109375" customWidth="1"/>
    <col min="83" max="85" width="5.7109375" bestFit="1" customWidth="1"/>
    <col min="86" max="86" width="8.28515625" customWidth="1"/>
    <col min="87" max="87" width="8.5703125" customWidth="1"/>
    <col min="88" max="88" width="8.42578125" bestFit="1" customWidth="1"/>
    <col min="89" max="89" width="8.140625" customWidth="1"/>
    <col min="90" max="90" width="7.28515625" customWidth="1"/>
    <col min="91" max="91" width="7.28515625" bestFit="1" customWidth="1"/>
    <col min="92" max="92" width="8.42578125" customWidth="1"/>
    <col min="93" max="93" width="5.85546875" bestFit="1" customWidth="1"/>
    <col min="94" max="95" width="8.5703125" bestFit="1" customWidth="1"/>
    <col min="96" max="96" width="8.42578125" bestFit="1" customWidth="1"/>
    <col min="97" max="97" width="5.7109375" bestFit="1" customWidth="1"/>
    <col min="98" max="98" width="5.7109375" customWidth="1"/>
    <col min="99" max="101" width="5.7109375" bestFit="1" customWidth="1"/>
    <col min="102" max="103" width="7.28515625" bestFit="1" customWidth="1"/>
    <col min="104" max="104" width="8.42578125" bestFit="1" customWidth="1"/>
    <col min="105" max="105" width="5.7109375" bestFit="1" customWidth="1"/>
    <col min="106" max="106" width="6.5703125" customWidth="1"/>
    <col min="107" max="107" width="5.7109375" bestFit="1" customWidth="1"/>
    <col min="108" max="108" width="8.42578125" customWidth="1"/>
    <col min="109" max="109" width="5.85546875" bestFit="1" customWidth="1"/>
    <col min="110" max="111" width="8.5703125" bestFit="1" customWidth="1"/>
    <col min="112" max="112" width="8.42578125" bestFit="1" customWidth="1"/>
    <col min="113" max="113" width="5.7109375" bestFit="1" customWidth="1"/>
    <col min="114" max="114" width="5.7109375" customWidth="1"/>
    <col min="115" max="115" width="5.7109375" bestFit="1" customWidth="1"/>
    <col min="116" max="116" width="8.42578125" bestFit="1" customWidth="1"/>
    <col min="117" max="117" width="5.7109375" bestFit="1" customWidth="1"/>
    <col min="118" max="118" width="10.140625" customWidth="1"/>
    <col min="119" max="119" width="10.5703125" customWidth="1"/>
    <col min="120" max="120" width="8.42578125" bestFit="1" customWidth="1"/>
    <col min="121" max="121" width="8.42578125" customWidth="1"/>
    <col min="122" max="122" width="8.140625" customWidth="1"/>
    <col min="123" max="123" width="8" customWidth="1"/>
    <col min="124" max="124" width="8.42578125" bestFit="1" customWidth="1"/>
    <col min="125" max="125" width="5.7109375" bestFit="1" customWidth="1"/>
    <col min="126" max="126" width="9.140625" customWidth="1"/>
    <col min="127" max="127" width="8.5703125" customWidth="1"/>
    <col min="128" max="128" width="8.7109375" bestFit="1" customWidth="1"/>
    <col min="129" max="129" width="5.7109375" bestFit="1" customWidth="1"/>
    <col min="130" max="130" width="6.7109375" customWidth="1"/>
    <col min="131" max="131" width="7.28515625" bestFit="1" customWidth="1"/>
    <col min="132" max="132" width="15.5703125" customWidth="1"/>
  </cols>
  <sheetData>
    <row r="1" spans="1:133" s="41" customFormat="1" x14ac:dyDescent="0.25">
      <c r="A1" s="639" t="s">
        <v>393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</row>
    <row r="2" spans="1:133" s="41" customFormat="1" x14ac:dyDescent="0.25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166"/>
      <c r="AK2" s="166"/>
      <c r="AL2" s="166"/>
      <c r="AM2" s="166"/>
      <c r="AN2" s="166"/>
      <c r="AO2" s="166"/>
      <c r="AP2" s="299"/>
      <c r="AQ2" s="166"/>
      <c r="AR2" s="166"/>
      <c r="AS2" s="166"/>
      <c r="AT2" s="166"/>
      <c r="AU2" s="166"/>
      <c r="AV2" s="166"/>
      <c r="AW2" s="166"/>
      <c r="AX2" s="299"/>
      <c r="AY2" s="166"/>
      <c r="AZ2" s="166"/>
      <c r="BA2" s="166"/>
      <c r="BB2" s="166"/>
      <c r="BC2" s="166"/>
      <c r="BD2" s="166"/>
      <c r="BE2" s="166"/>
      <c r="BF2" s="299"/>
      <c r="BG2" s="166"/>
      <c r="BH2" s="166"/>
      <c r="BI2" s="166"/>
      <c r="BJ2" s="166"/>
      <c r="BK2" s="166"/>
      <c r="BL2" s="166"/>
      <c r="BM2" s="166"/>
      <c r="BN2" s="299"/>
      <c r="BO2" s="166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166"/>
      <c r="CW2" s="166"/>
      <c r="CX2" s="166"/>
      <c r="CY2" s="166"/>
      <c r="CZ2" s="166"/>
      <c r="DA2" s="166"/>
      <c r="DB2" s="299"/>
      <c r="DC2" s="166"/>
      <c r="DD2" s="166"/>
      <c r="DE2" s="166"/>
      <c r="DF2" s="166"/>
      <c r="DG2" s="166"/>
      <c r="DH2" s="166"/>
      <c r="DI2" s="166"/>
      <c r="DJ2" s="299"/>
      <c r="DK2" s="166"/>
      <c r="DL2" s="166"/>
      <c r="DM2" s="166"/>
      <c r="DN2" s="166"/>
      <c r="DO2" s="166"/>
      <c r="DP2" s="166"/>
      <c r="DQ2" s="166"/>
      <c r="DR2" s="299"/>
      <c r="DS2" s="166"/>
      <c r="DT2" s="166"/>
      <c r="DU2" s="166"/>
      <c r="DV2" s="166"/>
      <c r="DW2" s="166"/>
      <c r="DX2" s="166"/>
      <c r="DY2" s="166"/>
      <c r="DZ2" s="299"/>
      <c r="EA2" s="166"/>
      <c r="EB2" s="166"/>
    </row>
    <row r="3" spans="1:133" s="41" customFormat="1" ht="18.75" x14ac:dyDescent="0.25">
      <c r="A3" s="603" t="s">
        <v>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</row>
    <row r="4" spans="1:133" s="41" customFormat="1" x14ac:dyDescent="0.25">
      <c r="A4" s="606" t="s">
        <v>124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</row>
    <row r="5" spans="1:133" s="41" customFormat="1" ht="16.5" x14ac:dyDescent="0.25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78"/>
      <c r="AL5" s="169"/>
      <c r="EA5" s="214"/>
    </row>
    <row r="6" spans="1:133" s="41" customFormat="1" x14ac:dyDescent="0.25">
      <c r="A6" s="601" t="s">
        <v>774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</row>
    <row r="7" spans="1:133" s="41" customFormat="1" x14ac:dyDescent="0.25">
      <c r="A7" s="640"/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</row>
    <row r="8" spans="1:133" s="41" customFormat="1" ht="18.75" x14ac:dyDescent="0.3">
      <c r="A8" s="600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</row>
    <row r="9" spans="1:133" s="41" customFormat="1" x14ac:dyDescent="0.25">
      <c r="A9" s="601" t="s">
        <v>226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</row>
    <row r="10" spans="1:133" s="41" customFormat="1" x14ac:dyDescent="0.25">
      <c r="A10" s="649"/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649"/>
      <c r="BQ10" s="649"/>
      <c r="BR10" s="649"/>
      <c r="BS10" s="649"/>
      <c r="BT10" s="649"/>
      <c r="BU10" s="649"/>
      <c r="BV10" s="649"/>
      <c r="BW10" s="649"/>
      <c r="BX10" s="649"/>
      <c r="BY10" s="649"/>
      <c r="BZ10" s="649"/>
      <c r="CA10" s="649"/>
      <c r="CB10" s="649"/>
      <c r="CC10" s="649"/>
      <c r="CD10" s="649"/>
      <c r="CE10" s="649"/>
      <c r="CF10" s="649"/>
      <c r="CG10" s="649"/>
      <c r="CH10" s="649"/>
      <c r="CI10" s="649"/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49"/>
      <c r="DD10" s="649"/>
      <c r="DE10" s="649"/>
      <c r="DF10" s="649"/>
      <c r="DG10" s="649"/>
      <c r="DH10" s="649"/>
      <c r="DI10" s="649"/>
      <c r="DJ10" s="649"/>
      <c r="DK10" s="649"/>
      <c r="DL10" s="649"/>
      <c r="DM10" s="649"/>
      <c r="DN10" s="649"/>
      <c r="DO10" s="649"/>
      <c r="DP10" s="649"/>
      <c r="DQ10" s="649"/>
      <c r="DR10" s="649"/>
      <c r="DS10" s="649"/>
      <c r="DT10" s="649"/>
      <c r="DU10" s="649"/>
      <c r="DV10" s="649"/>
      <c r="DW10" s="649"/>
      <c r="DX10" s="649"/>
      <c r="DY10" s="649"/>
      <c r="DZ10" s="649"/>
      <c r="EA10" s="649"/>
    </row>
    <row r="11" spans="1:133" s="41" customFormat="1" ht="15.95" customHeight="1" x14ac:dyDescent="0.25">
      <c r="A11" s="644" t="s">
        <v>4</v>
      </c>
      <c r="B11" s="644" t="s">
        <v>5</v>
      </c>
      <c r="C11" s="644" t="s">
        <v>6</v>
      </c>
      <c r="D11" s="617" t="s">
        <v>394</v>
      </c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 t="s">
        <v>544</v>
      </c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55" t="s">
        <v>395</v>
      </c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5"/>
      <c r="BG11" s="655"/>
      <c r="BH11" s="655"/>
      <c r="BI11" s="655"/>
      <c r="BJ11" s="655"/>
      <c r="BK11" s="655"/>
      <c r="BL11" s="655"/>
      <c r="BM11" s="655"/>
      <c r="BN11" s="655"/>
      <c r="BO11" s="655"/>
      <c r="BP11" s="655"/>
      <c r="BQ11" s="655"/>
      <c r="BR11" s="655"/>
      <c r="BS11" s="655"/>
      <c r="BT11" s="655"/>
      <c r="BU11" s="655"/>
      <c r="BV11" s="655"/>
      <c r="BW11" s="655"/>
      <c r="BX11" s="655"/>
      <c r="BY11" s="655"/>
      <c r="BZ11" s="655"/>
      <c r="CA11" s="655"/>
      <c r="CB11" s="655"/>
      <c r="CC11" s="655"/>
      <c r="CD11" s="655"/>
      <c r="CE11" s="655"/>
      <c r="CF11" s="655"/>
      <c r="CG11" s="655"/>
      <c r="CH11" s="655"/>
      <c r="CI11" s="655"/>
      <c r="CJ11" s="655"/>
      <c r="CK11" s="655"/>
      <c r="CL11" s="655"/>
      <c r="CM11" s="655"/>
      <c r="CN11" s="655"/>
      <c r="CO11" s="655"/>
      <c r="CP11" s="655"/>
      <c r="CQ11" s="655"/>
      <c r="CR11" s="655"/>
      <c r="CS11" s="655"/>
      <c r="CT11" s="655"/>
      <c r="CU11" s="655"/>
      <c r="CV11" s="655"/>
      <c r="CW11" s="655"/>
      <c r="CX11" s="655"/>
      <c r="CY11" s="655"/>
      <c r="CZ11" s="655"/>
      <c r="DA11" s="655"/>
      <c r="DB11" s="655"/>
      <c r="DC11" s="655"/>
      <c r="DD11" s="655"/>
      <c r="DE11" s="655"/>
      <c r="DF11" s="655"/>
      <c r="DG11" s="655"/>
      <c r="DH11" s="655"/>
      <c r="DI11" s="655"/>
      <c r="DJ11" s="655"/>
      <c r="DK11" s="655"/>
      <c r="DL11" s="655"/>
      <c r="DM11" s="655"/>
      <c r="DN11" s="655"/>
      <c r="DO11" s="655"/>
      <c r="DP11" s="655"/>
      <c r="DQ11" s="655"/>
      <c r="DR11" s="655"/>
      <c r="DS11" s="655"/>
      <c r="DT11" s="655"/>
      <c r="DU11" s="655"/>
      <c r="DV11" s="655"/>
      <c r="DW11" s="655"/>
      <c r="DX11" s="655"/>
      <c r="DY11" s="655"/>
      <c r="DZ11" s="655"/>
      <c r="EA11" s="655"/>
      <c r="EB11" s="617" t="s">
        <v>182</v>
      </c>
    </row>
    <row r="12" spans="1:133" s="41" customFormat="1" x14ac:dyDescent="0.25">
      <c r="A12" s="644"/>
      <c r="B12" s="644"/>
      <c r="C12" s="644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45" t="s">
        <v>775</v>
      </c>
      <c r="AK12" s="645"/>
      <c r="AL12" s="645"/>
      <c r="AM12" s="645"/>
      <c r="AN12" s="645"/>
      <c r="AO12" s="645"/>
      <c r="AP12" s="645"/>
      <c r="AQ12" s="645"/>
      <c r="AR12" s="645"/>
      <c r="AS12" s="645"/>
      <c r="AT12" s="645"/>
      <c r="AU12" s="645"/>
      <c r="AV12" s="645"/>
      <c r="AW12" s="645"/>
      <c r="AX12" s="645"/>
      <c r="AY12" s="645"/>
      <c r="AZ12" s="645" t="s">
        <v>776</v>
      </c>
      <c r="BA12" s="645"/>
      <c r="BB12" s="645"/>
      <c r="BC12" s="645"/>
      <c r="BD12" s="645"/>
      <c r="BE12" s="645"/>
      <c r="BF12" s="645"/>
      <c r="BG12" s="645"/>
      <c r="BH12" s="645"/>
      <c r="BI12" s="645"/>
      <c r="BJ12" s="645"/>
      <c r="BK12" s="645"/>
      <c r="BL12" s="645"/>
      <c r="BM12" s="645"/>
      <c r="BN12" s="645"/>
      <c r="BO12" s="645"/>
      <c r="BP12" s="645" t="s">
        <v>777</v>
      </c>
      <c r="BQ12" s="645"/>
      <c r="BR12" s="645"/>
      <c r="BS12" s="645"/>
      <c r="BT12" s="645"/>
      <c r="BU12" s="645"/>
      <c r="BV12" s="645"/>
      <c r="BW12" s="645"/>
      <c r="BX12" s="645"/>
      <c r="BY12" s="645"/>
      <c r="BZ12" s="645"/>
      <c r="CA12" s="645"/>
      <c r="CB12" s="645"/>
      <c r="CC12" s="645"/>
      <c r="CD12" s="645"/>
      <c r="CE12" s="645"/>
      <c r="CF12" s="645" t="s">
        <v>778</v>
      </c>
      <c r="CG12" s="645"/>
      <c r="CH12" s="645"/>
      <c r="CI12" s="645"/>
      <c r="CJ12" s="645"/>
      <c r="CK12" s="645"/>
      <c r="CL12" s="645"/>
      <c r="CM12" s="645"/>
      <c r="CN12" s="645"/>
      <c r="CO12" s="645"/>
      <c r="CP12" s="645"/>
      <c r="CQ12" s="645"/>
      <c r="CR12" s="645"/>
      <c r="CS12" s="645"/>
      <c r="CT12" s="645"/>
      <c r="CU12" s="645"/>
      <c r="CV12" s="645" t="s">
        <v>779</v>
      </c>
      <c r="CW12" s="645"/>
      <c r="CX12" s="645"/>
      <c r="CY12" s="645"/>
      <c r="CZ12" s="645"/>
      <c r="DA12" s="645"/>
      <c r="DB12" s="645"/>
      <c r="DC12" s="645"/>
      <c r="DD12" s="645"/>
      <c r="DE12" s="645"/>
      <c r="DF12" s="645"/>
      <c r="DG12" s="645"/>
      <c r="DH12" s="645"/>
      <c r="DI12" s="645"/>
      <c r="DJ12" s="645"/>
      <c r="DK12" s="645"/>
      <c r="DL12" s="634" t="s">
        <v>396</v>
      </c>
      <c r="DM12" s="634"/>
      <c r="DN12" s="634"/>
      <c r="DO12" s="634"/>
      <c r="DP12" s="634"/>
      <c r="DQ12" s="634"/>
      <c r="DR12" s="634"/>
      <c r="DS12" s="634"/>
      <c r="DT12" s="634"/>
      <c r="DU12" s="634"/>
      <c r="DV12" s="634"/>
      <c r="DW12" s="634"/>
      <c r="DX12" s="634"/>
      <c r="DY12" s="634"/>
      <c r="DZ12" s="634"/>
      <c r="EA12" s="634"/>
      <c r="EB12" s="617"/>
    </row>
    <row r="13" spans="1:133" s="41" customFormat="1" ht="48.75" customHeight="1" x14ac:dyDescent="0.25">
      <c r="A13" s="644"/>
      <c r="B13" s="644"/>
      <c r="C13" s="644"/>
      <c r="D13" s="645" t="s">
        <v>532</v>
      </c>
      <c r="E13" s="645"/>
      <c r="F13" s="645"/>
      <c r="G13" s="645"/>
      <c r="H13" s="645"/>
      <c r="I13" s="645"/>
      <c r="J13" s="645"/>
      <c r="K13" s="645"/>
      <c r="L13" s="644" t="s">
        <v>136</v>
      </c>
      <c r="M13" s="644"/>
      <c r="N13" s="644"/>
      <c r="O13" s="644"/>
      <c r="P13" s="644"/>
      <c r="Q13" s="644"/>
      <c r="R13" s="644"/>
      <c r="S13" s="644"/>
      <c r="T13" s="645" t="s">
        <v>532</v>
      </c>
      <c r="U13" s="645"/>
      <c r="V13" s="645"/>
      <c r="W13" s="645"/>
      <c r="X13" s="645"/>
      <c r="Y13" s="645"/>
      <c r="Z13" s="645"/>
      <c r="AA13" s="645"/>
      <c r="AB13" s="644" t="s">
        <v>136</v>
      </c>
      <c r="AC13" s="644"/>
      <c r="AD13" s="644"/>
      <c r="AE13" s="644"/>
      <c r="AF13" s="644"/>
      <c r="AG13" s="644"/>
      <c r="AH13" s="644"/>
      <c r="AI13" s="644"/>
      <c r="AJ13" s="645" t="s">
        <v>532</v>
      </c>
      <c r="AK13" s="645"/>
      <c r="AL13" s="645"/>
      <c r="AM13" s="645"/>
      <c r="AN13" s="645"/>
      <c r="AO13" s="645"/>
      <c r="AP13" s="645"/>
      <c r="AQ13" s="645"/>
      <c r="AR13" s="644" t="s">
        <v>136</v>
      </c>
      <c r="AS13" s="644"/>
      <c r="AT13" s="644"/>
      <c r="AU13" s="644"/>
      <c r="AV13" s="644"/>
      <c r="AW13" s="644"/>
      <c r="AX13" s="644"/>
      <c r="AY13" s="644"/>
      <c r="AZ13" s="645" t="s">
        <v>532</v>
      </c>
      <c r="BA13" s="645"/>
      <c r="BB13" s="645"/>
      <c r="BC13" s="645"/>
      <c r="BD13" s="645"/>
      <c r="BE13" s="645"/>
      <c r="BF13" s="645"/>
      <c r="BG13" s="645"/>
      <c r="BH13" s="644" t="s">
        <v>136</v>
      </c>
      <c r="BI13" s="644"/>
      <c r="BJ13" s="644"/>
      <c r="BK13" s="644"/>
      <c r="BL13" s="644"/>
      <c r="BM13" s="644"/>
      <c r="BN13" s="644"/>
      <c r="BO13" s="644"/>
      <c r="BP13" s="645" t="s">
        <v>532</v>
      </c>
      <c r="BQ13" s="645"/>
      <c r="BR13" s="645"/>
      <c r="BS13" s="645"/>
      <c r="BT13" s="645"/>
      <c r="BU13" s="645"/>
      <c r="BV13" s="645"/>
      <c r="BW13" s="645"/>
      <c r="BX13" s="644" t="s">
        <v>136</v>
      </c>
      <c r="BY13" s="644"/>
      <c r="BZ13" s="644"/>
      <c r="CA13" s="644"/>
      <c r="CB13" s="644"/>
      <c r="CC13" s="644"/>
      <c r="CD13" s="644"/>
      <c r="CE13" s="644"/>
      <c r="CF13" s="645" t="s">
        <v>532</v>
      </c>
      <c r="CG13" s="645"/>
      <c r="CH13" s="645"/>
      <c r="CI13" s="645"/>
      <c r="CJ13" s="645"/>
      <c r="CK13" s="645"/>
      <c r="CL13" s="645"/>
      <c r="CM13" s="645"/>
      <c r="CN13" s="644" t="s">
        <v>136</v>
      </c>
      <c r="CO13" s="644"/>
      <c r="CP13" s="644"/>
      <c r="CQ13" s="644"/>
      <c r="CR13" s="644"/>
      <c r="CS13" s="644"/>
      <c r="CT13" s="644"/>
      <c r="CU13" s="644"/>
      <c r="CV13" s="645" t="s">
        <v>532</v>
      </c>
      <c r="CW13" s="645"/>
      <c r="CX13" s="645"/>
      <c r="CY13" s="645"/>
      <c r="CZ13" s="645"/>
      <c r="DA13" s="645"/>
      <c r="DB13" s="645"/>
      <c r="DC13" s="645"/>
      <c r="DD13" s="644" t="s">
        <v>136</v>
      </c>
      <c r="DE13" s="644"/>
      <c r="DF13" s="644"/>
      <c r="DG13" s="644"/>
      <c r="DH13" s="644"/>
      <c r="DI13" s="644"/>
      <c r="DJ13" s="644"/>
      <c r="DK13" s="644"/>
      <c r="DL13" s="645" t="s">
        <v>532</v>
      </c>
      <c r="DM13" s="645"/>
      <c r="DN13" s="645"/>
      <c r="DO13" s="645"/>
      <c r="DP13" s="645"/>
      <c r="DQ13" s="645"/>
      <c r="DR13" s="645"/>
      <c r="DS13" s="645"/>
      <c r="DT13" s="644" t="s">
        <v>136</v>
      </c>
      <c r="DU13" s="644"/>
      <c r="DV13" s="644"/>
      <c r="DW13" s="644"/>
      <c r="DX13" s="644"/>
      <c r="DY13" s="644"/>
      <c r="DZ13" s="644"/>
      <c r="EA13" s="644"/>
      <c r="EB13" s="617"/>
    </row>
    <row r="14" spans="1:133" s="41" customFormat="1" ht="98.25" customHeight="1" x14ac:dyDescent="0.25">
      <c r="A14" s="644"/>
      <c r="B14" s="644"/>
      <c r="C14" s="644"/>
      <c r="D14" s="163" t="s">
        <v>237</v>
      </c>
      <c r="E14" s="163" t="s">
        <v>238</v>
      </c>
      <c r="F14" s="163" t="s">
        <v>397</v>
      </c>
      <c r="G14" s="163" t="s">
        <v>398</v>
      </c>
      <c r="H14" s="163" t="s">
        <v>399</v>
      </c>
      <c r="I14" s="163" t="s">
        <v>240</v>
      </c>
      <c r="J14" s="311" t="s">
        <v>572</v>
      </c>
      <c r="K14" s="311" t="s">
        <v>573</v>
      </c>
      <c r="L14" s="163" t="s">
        <v>237</v>
      </c>
      <c r="M14" s="163" t="s">
        <v>238</v>
      </c>
      <c r="N14" s="163" t="s">
        <v>397</v>
      </c>
      <c r="O14" s="163" t="s">
        <v>398</v>
      </c>
      <c r="P14" s="163" t="s">
        <v>399</v>
      </c>
      <c r="Q14" s="163" t="s">
        <v>240</v>
      </c>
      <c r="R14" s="311" t="s">
        <v>572</v>
      </c>
      <c r="S14" s="311" t="s">
        <v>573</v>
      </c>
      <c r="T14" s="163" t="s">
        <v>237</v>
      </c>
      <c r="U14" s="163" t="s">
        <v>238</v>
      </c>
      <c r="V14" s="163" t="s">
        <v>397</v>
      </c>
      <c r="W14" s="163" t="s">
        <v>398</v>
      </c>
      <c r="X14" s="163" t="s">
        <v>399</v>
      </c>
      <c r="Y14" s="163" t="s">
        <v>240</v>
      </c>
      <c r="Z14" s="311" t="s">
        <v>572</v>
      </c>
      <c r="AA14" s="311" t="s">
        <v>573</v>
      </c>
      <c r="AB14" s="163" t="s">
        <v>237</v>
      </c>
      <c r="AC14" s="163" t="s">
        <v>238</v>
      </c>
      <c r="AD14" s="163" t="s">
        <v>397</v>
      </c>
      <c r="AE14" s="163" t="s">
        <v>398</v>
      </c>
      <c r="AF14" s="163" t="s">
        <v>399</v>
      </c>
      <c r="AG14" s="163" t="s">
        <v>240</v>
      </c>
      <c r="AH14" s="311" t="s">
        <v>572</v>
      </c>
      <c r="AI14" s="311" t="s">
        <v>573</v>
      </c>
      <c r="AJ14" s="163" t="s">
        <v>237</v>
      </c>
      <c r="AK14" s="163" t="s">
        <v>238</v>
      </c>
      <c r="AL14" s="163" t="s">
        <v>397</v>
      </c>
      <c r="AM14" s="163" t="s">
        <v>398</v>
      </c>
      <c r="AN14" s="163" t="s">
        <v>399</v>
      </c>
      <c r="AO14" s="163" t="s">
        <v>240</v>
      </c>
      <c r="AP14" s="311" t="s">
        <v>572</v>
      </c>
      <c r="AQ14" s="311" t="s">
        <v>573</v>
      </c>
      <c r="AR14" s="163" t="s">
        <v>237</v>
      </c>
      <c r="AS14" s="163" t="s">
        <v>238</v>
      </c>
      <c r="AT14" s="163" t="s">
        <v>397</v>
      </c>
      <c r="AU14" s="163" t="s">
        <v>398</v>
      </c>
      <c r="AV14" s="163" t="s">
        <v>399</v>
      </c>
      <c r="AW14" s="163" t="s">
        <v>240</v>
      </c>
      <c r="AX14" s="311" t="s">
        <v>572</v>
      </c>
      <c r="AY14" s="311" t="s">
        <v>573</v>
      </c>
      <c r="AZ14" s="163" t="s">
        <v>237</v>
      </c>
      <c r="BA14" s="163" t="s">
        <v>238</v>
      </c>
      <c r="BB14" s="163" t="s">
        <v>397</v>
      </c>
      <c r="BC14" s="163" t="s">
        <v>398</v>
      </c>
      <c r="BD14" s="163" t="s">
        <v>399</v>
      </c>
      <c r="BE14" s="163" t="s">
        <v>240</v>
      </c>
      <c r="BF14" s="311" t="s">
        <v>572</v>
      </c>
      <c r="BG14" s="311" t="s">
        <v>573</v>
      </c>
      <c r="BH14" s="163" t="s">
        <v>237</v>
      </c>
      <c r="BI14" s="163" t="s">
        <v>238</v>
      </c>
      <c r="BJ14" s="163" t="s">
        <v>397</v>
      </c>
      <c r="BK14" s="163" t="s">
        <v>398</v>
      </c>
      <c r="BL14" s="163" t="s">
        <v>399</v>
      </c>
      <c r="BM14" s="163" t="s">
        <v>240</v>
      </c>
      <c r="BN14" s="311" t="s">
        <v>572</v>
      </c>
      <c r="BO14" s="311" t="s">
        <v>573</v>
      </c>
      <c r="BP14" s="428" t="s">
        <v>237</v>
      </c>
      <c r="BQ14" s="428" t="s">
        <v>238</v>
      </c>
      <c r="BR14" s="428" t="s">
        <v>397</v>
      </c>
      <c r="BS14" s="428" t="s">
        <v>398</v>
      </c>
      <c r="BT14" s="428" t="s">
        <v>399</v>
      </c>
      <c r="BU14" s="428" t="s">
        <v>240</v>
      </c>
      <c r="BV14" s="429" t="s">
        <v>572</v>
      </c>
      <c r="BW14" s="429" t="s">
        <v>573</v>
      </c>
      <c r="BX14" s="428" t="s">
        <v>237</v>
      </c>
      <c r="BY14" s="428" t="s">
        <v>238</v>
      </c>
      <c r="BZ14" s="428" t="s">
        <v>397</v>
      </c>
      <c r="CA14" s="428" t="s">
        <v>398</v>
      </c>
      <c r="CB14" s="428" t="s">
        <v>399</v>
      </c>
      <c r="CC14" s="428" t="s">
        <v>240</v>
      </c>
      <c r="CD14" s="429" t="s">
        <v>572</v>
      </c>
      <c r="CE14" s="429" t="s">
        <v>573</v>
      </c>
      <c r="CF14" s="428" t="s">
        <v>237</v>
      </c>
      <c r="CG14" s="428" t="s">
        <v>238</v>
      </c>
      <c r="CH14" s="428" t="s">
        <v>397</v>
      </c>
      <c r="CI14" s="428" t="s">
        <v>398</v>
      </c>
      <c r="CJ14" s="428" t="s">
        <v>399</v>
      </c>
      <c r="CK14" s="428" t="s">
        <v>240</v>
      </c>
      <c r="CL14" s="429" t="s">
        <v>572</v>
      </c>
      <c r="CM14" s="429" t="s">
        <v>573</v>
      </c>
      <c r="CN14" s="428" t="s">
        <v>237</v>
      </c>
      <c r="CO14" s="428" t="s">
        <v>238</v>
      </c>
      <c r="CP14" s="428" t="s">
        <v>397</v>
      </c>
      <c r="CQ14" s="428" t="s">
        <v>398</v>
      </c>
      <c r="CR14" s="428" t="s">
        <v>399</v>
      </c>
      <c r="CS14" s="428" t="s">
        <v>240</v>
      </c>
      <c r="CT14" s="429" t="s">
        <v>572</v>
      </c>
      <c r="CU14" s="429" t="s">
        <v>573</v>
      </c>
      <c r="CV14" s="163" t="s">
        <v>237</v>
      </c>
      <c r="CW14" s="163" t="s">
        <v>238</v>
      </c>
      <c r="CX14" s="163" t="s">
        <v>397</v>
      </c>
      <c r="CY14" s="163" t="s">
        <v>398</v>
      </c>
      <c r="CZ14" s="163" t="s">
        <v>399</v>
      </c>
      <c r="DA14" s="163" t="s">
        <v>240</v>
      </c>
      <c r="DB14" s="311" t="s">
        <v>572</v>
      </c>
      <c r="DC14" s="311" t="s">
        <v>573</v>
      </c>
      <c r="DD14" s="163" t="s">
        <v>237</v>
      </c>
      <c r="DE14" s="163" t="s">
        <v>238</v>
      </c>
      <c r="DF14" s="163" t="s">
        <v>397</v>
      </c>
      <c r="DG14" s="163" t="s">
        <v>398</v>
      </c>
      <c r="DH14" s="163" t="s">
        <v>399</v>
      </c>
      <c r="DI14" s="163" t="s">
        <v>240</v>
      </c>
      <c r="DJ14" s="311" t="s">
        <v>572</v>
      </c>
      <c r="DK14" s="311" t="s">
        <v>573</v>
      </c>
      <c r="DL14" s="163" t="s">
        <v>237</v>
      </c>
      <c r="DM14" s="163" t="s">
        <v>238</v>
      </c>
      <c r="DN14" s="163" t="s">
        <v>397</v>
      </c>
      <c r="DO14" s="163" t="s">
        <v>398</v>
      </c>
      <c r="DP14" s="163" t="s">
        <v>399</v>
      </c>
      <c r="DQ14" s="163" t="s">
        <v>240</v>
      </c>
      <c r="DR14" s="311" t="s">
        <v>572</v>
      </c>
      <c r="DS14" s="311" t="s">
        <v>573</v>
      </c>
      <c r="DT14" s="163" t="s">
        <v>237</v>
      </c>
      <c r="DU14" s="163" t="s">
        <v>238</v>
      </c>
      <c r="DV14" s="163" t="s">
        <v>397</v>
      </c>
      <c r="DW14" s="163" t="s">
        <v>398</v>
      </c>
      <c r="DX14" s="163" t="s">
        <v>399</v>
      </c>
      <c r="DY14" s="163" t="s">
        <v>240</v>
      </c>
      <c r="DZ14" s="311" t="s">
        <v>572</v>
      </c>
      <c r="EA14" s="311" t="s">
        <v>573</v>
      </c>
      <c r="EB14" s="617"/>
    </row>
    <row r="15" spans="1:133" s="41" customFormat="1" x14ac:dyDescent="0.25">
      <c r="A15" s="177">
        <v>1</v>
      </c>
      <c r="B15" s="177">
        <v>2</v>
      </c>
      <c r="C15" s="177">
        <v>3</v>
      </c>
      <c r="D15" s="178" t="s">
        <v>320</v>
      </c>
      <c r="E15" s="178" t="s">
        <v>321</v>
      </c>
      <c r="F15" s="178" t="s">
        <v>322</v>
      </c>
      <c r="G15" s="178" t="s">
        <v>323</v>
      </c>
      <c r="H15" s="178" t="s">
        <v>324</v>
      </c>
      <c r="I15" s="178" t="s">
        <v>325</v>
      </c>
      <c r="J15" s="178" t="s">
        <v>326</v>
      </c>
      <c r="K15" s="178" t="s">
        <v>583</v>
      </c>
      <c r="L15" s="178" t="s">
        <v>327</v>
      </c>
      <c r="M15" s="178" t="s">
        <v>328</v>
      </c>
      <c r="N15" s="178" t="s">
        <v>329</v>
      </c>
      <c r="O15" s="178" t="s">
        <v>330</v>
      </c>
      <c r="P15" s="178" t="s">
        <v>331</v>
      </c>
      <c r="Q15" s="178" t="s">
        <v>332</v>
      </c>
      <c r="R15" s="178" t="s">
        <v>333</v>
      </c>
      <c r="S15" s="178" t="s">
        <v>582</v>
      </c>
      <c r="T15" s="178" t="s">
        <v>590</v>
      </c>
      <c r="U15" s="178" t="s">
        <v>591</v>
      </c>
      <c r="V15" s="178" t="s">
        <v>592</v>
      </c>
      <c r="W15" s="178" t="s">
        <v>593</v>
      </c>
      <c r="X15" s="178" t="s">
        <v>594</v>
      </c>
      <c r="Y15" s="178" t="s">
        <v>595</v>
      </c>
      <c r="Z15" s="178" t="s">
        <v>596</v>
      </c>
      <c r="AA15" s="178" t="s">
        <v>597</v>
      </c>
      <c r="AB15" s="178" t="s">
        <v>598</v>
      </c>
      <c r="AC15" s="178" t="s">
        <v>599</v>
      </c>
      <c r="AD15" s="178" t="s">
        <v>600</v>
      </c>
      <c r="AE15" s="178" t="s">
        <v>601</v>
      </c>
      <c r="AF15" s="178" t="s">
        <v>602</v>
      </c>
      <c r="AG15" s="178" t="s">
        <v>603</v>
      </c>
      <c r="AH15" s="178" t="s">
        <v>604</v>
      </c>
      <c r="AI15" s="178" t="s">
        <v>605</v>
      </c>
      <c r="AJ15" s="178" t="s">
        <v>242</v>
      </c>
      <c r="AK15" s="178" t="s">
        <v>243</v>
      </c>
      <c r="AL15" s="178" t="s">
        <v>244</v>
      </c>
      <c r="AM15" s="178" t="s">
        <v>245</v>
      </c>
      <c r="AN15" s="178" t="s">
        <v>246</v>
      </c>
      <c r="AO15" s="178" t="s">
        <v>247</v>
      </c>
      <c r="AP15" s="178" t="s">
        <v>248</v>
      </c>
      <c r="AQ15" s="178" t="s">
        <v>606</v>
      </c>
      <c r="AR15" s="178" t="s">
        <v>249</v>
      </c>
      <c r="AS15" s="178" t="s">
        <v>250</v>
      </c>
      <c r="AT15" s="178" t="s">
        <v>251</v>
      </c>
      <c r="AU15" s="178" t="s">
        <v>252</v>
      </c>
      <c r="AV15" s="178" t="s">
        <v>253</v>
      </c>
      <c r="AW15" s="178" t="s">
        <v>254</v>
      </c>
      <c r="AX15" s="178" t="s">
        <v>255</v>
      </c>
      <c r="AY15" s="178" t="s">
        <v>607</v>
      </c>
      <c r="AZ15" s="178" t="s">
        <v>608</v>
      </c>
      <c r="BA15" s="178" t="s">
        <v>609</v>
      </c>
      <c r="BB15" s="178" t="s">
        <v>610</v>
      </c>
      <c r="BC15" s="178" t="s">
        <v>611</v>
      </c>
      <c r="BD15" s="178" t="s">
        <v>612</v>
      </c>
      <c r="BE15" s="178" t="s">
        <v>613</v>
      </c>
      <c r="BF15" s="178" t="s">
        <v>614</v>
      </c>
      <c r="BG15" s="178" t="s">
        <v>615</v>
      </c>
      <c r="BH15" s="178" t="s">
        <v>616</v>
      </c>
      <c r="BI15" s="178" t="s">
        <v>617</v>
      </c>
      <c r="BJ15" s="178" t="s">
        <v>618</v>
      </c>
      <c r="BK15" s="178" t="s">
        <v>619</v>
      </c>
      <c r="BL15" s="178" t="s">
        <v>620</v>
      </c>
      <c r="BM15" s="178" t="s">
        <v>621</v>
      </c>
      <c r="BN15" s="178" t="s">
        <v>622</v>
      </c>
      <c r="BO15" s="178" t="s">
        <v>623</v>
      </c>
      <c r="BP15" s="178" t="s">
        <v>624</v>
      </c>
      <c r="BQ15" s="178" t="s">
        <v>625</v>
      </c>
      <c r="BR15" s="178" t="s">
        <v>626</v>
      </c>
      <c r="BS15" s="178" t="s">
        <v>627</v>
      </c>
      <c r="BT15" s="178" t="s">
        <v>628</v>
      </c>
      <c r="BU15" s="178" t="s">
        <v>629</v>
      </c>
      <c r="BV15" s="178" t="s">
        <v>630</v>
      </c>
      <c r="BW15" s="178" t="s">
        <v>631</v>
      </c>
      <c r="BX15" s="178" t="s">
        <v>632</v>
      </c>
      <c r="BY15" s="178" t="s">
        <v>633</v>
      </c>
      <c r="BZ15" s="178" t="s">
        <v>634</v>
      </c>
      <c r="CA15" s="178" t="s">
        <v>635</v>
      </c>
      <c r="CB15" s="178" t="s">
        <v>636</v>
      </c>
      <c r="CC15" s="178" t="s">
        <v>637</v>
      </c>
      <c r="CD15" s="178" t="s">
        <v>638</v>
      </c>
      <c r="CE15" s="178" t="s">
        <v>639</v>
      </c>
      <c r="CF15" s="178" t="s">
        <v>624</v>
      </c>
      <c r="CG15" s="178" t="s">
        <v>625</v>
      </c>
      <c r="CH15" s="178" t="s">
        <v>626</v>
      </c>
      <c r="CI15" s="178" t="s">
        <v>627</v>
      </c>
      <c r="CJ15" s="178" t="s">
        <v>628</v>
      </c>
      <c r="CK15" s="178" t="s">
        <v>629</v>
      </c>
      <c r="CL15" s="178" t="s">
        <v>630</v>
      </c>
      <c r="CM15" s="178" t="s">
        <v>631</v>
      </c>
      <c r="CN15" s="178" t="s">
        <v>632</v>
      </c>
      <c r="CO15" s="178" t="s">
        <v>633</v>
      </c>
      <c r="CP15" s="178" t="s">
        <v>634</v>
      </c>
      <c r="CQ15" s="178" t="s">
        <v>635</v>
      </c>
      <c r="CR15" s="178" t="s">
        <v>636</v>
      </c>
      <c r="CS15" s="178" t="s">
        <v>637</v>
      </c>
      <c r="CT15" s="178" t="s">
        <v>638</v>
      </c>
      <c r="CU15" s="178" t="s">
        <v>639</v>
      </c>
      <c r="CV15" s="178" t="s">
        <v>624</v>
      </c>
      <c r="CW15" s="178" t="s">
        <v>625</v>
      </c>
      <c r="CX15" s="178" t="s">
        <v>626</v>
      </c>
      <c r="CY15" s="178" t="s">
        <v>627</v>
      </c>
      <c r="CZ15" s="178" t="s">
        <v>628</v>
      </c>
      <c r="DA15" s="178" t="s">
        <v>629</v>
      </c>
      <c r="DB15" s="178" t="s">
        <v>630</v>
      </c>
      <c r="DC15" s="178" t="s">
        <v>631</v>
      </c>
      <c r="DD15" s="178" t="s">
        <v>632</v>
      </c>
      <c r="DE15" s="178" t="s">
        <v>633</v>
      </c>
      <c r="DF15" s="178" t="s">
        <v>634</v>
      </c>
      <c r="DG15" s="178" t="s">
        <v>635</v>
      </c>
      <c r="DH15" s="178" t="s">
        <v>636</v>
      </c>
      <c r="DI15" s="178" t="s">
        <v>637</v>
      </c>
      <c r="DJ15" s="178" t="s">
        <v>638</v>
      </c>
      <c r="DK15" s="178" t="s">
        <v>639</v>
      </c>
      <c r="DL15" s="178" t="s">
        <v>640</v>
      </c>
      <c r="DM15" s="178" t="s">
        <v>641</v>
      </c>
      <c r="DN15" s="178" t="s">
        <v>642</v>
      </c>
      <c r="DO15" s="178" t="s">
        <v>643</v>
      </c>
      <c r="DP15" s="178" t="s">
        <v>644</v>
      </c>
      <c r="DQ15" s="178" t="s">
        <v>645</v>
      </c>
      <c r="DR15" s="178" t="s">
        <v>646</v>
      </c>
      <c r="DS15" s="178" t="s">
        <v>647</v>
      </c>
      <c r="DT15" s="178" t="s">
        <v>648</v>
      </c>
      <c r="DU15" s="178" t="s">
        <v>649</v>
      </c>
      <c r="DV15" s="178" t="s">
        <v>650</v>
      </c>
      <c r="DW15" s="178" t="s">
        <v>651</v>
      </c>
      <c r="DX15" s="178" t="s">
        <v>652</v>
      </c>
      <c r="DY15" s="178" t="s">
        <v>653</v>
      </c>
      <c r="DZ15" s="178" t="s">
        <v>654</v>
      </c>
      <c r="EA15" s="178" t="s">
        <v>655</v>
      </c>
      <c r="EB15" s="215"/>
    </row>
    <row r="16" spans="1:133" s="185" customFormat="1" x14ac:dyDescent="0.25">
      <c r="A16" s="183" t="s">
        <v>33</v>
      </c>
      <c r="B16" s="64" t="s">
        <v>34</v>
      </c>
      <c r="C16" s="184">
        <v>0</v>
      </c>
      <c r="D16" s="184">
        <f>D17</f>
        <v>0</v>
      </c>
      <c r="E16" s="184">
        <f t="shared" ref="E16:CV16" si="0">E17</f>
        <v>0</v>
      </c>
      <c r="F16" s="184">
        <f t="shared" si="0"/>
        <v>15.163999999999998</v>
      </c>
      <c r="G16" s="184">
        <f t="shared" si="0"/>
        <v>0</v>
      </c>
      <c r="H16" s="184">
        <f t="shared" si="0"/>
        <v>0</v>
      </c>
      <c r="I16" s="184">
        <f t="shared" si="0"/>
        <v>7.7200000000000006</v>
      </c>
      <c r="J16" s="320">
        <f t="shared" si="0"/>
        <v>1219</v>
      </c>
      <c r="K16" s="184">
        <f t="shared" si="0"/>
        <v>2</v>
      </c>
      <c r="L16" s="184">
        <f t="shared" si="0"/>
        <v>0</v>
      </c>
      <c r="M16" s="184">
        <f t="shared" si="0"/>
        <v>0</v>
      </c>
      <c r="N16" s="184">
        <f t="shared" si="0"/>
        <v>0</v>
      </c>
      <c r="O16" s="184">
        <f t="shared" si="0"/>
        <v>0</v>
      </c>
      <c r="P16" s="184">
        <f t="shared" si="0"/>
        <v>0</v>
      </c>
      <c r="Q16" s="184">
        <f t="shared" si="0"/>
        <v>0</v>
      </c>
      <c r="R16" s="184">
        <f t="shared" si="0"/>
        <v>0</v>
      </c>
      <c r="S16" s="184">
        <f t="shared" si="0"/>
        <v>0</v>
      </c>
      <c r="T16" s="184">
        <f t="shared" si="0"/>
        <v>0</v>
      </c>
      <c r="U16" s="184">
        <f t="shared" si="0"/>
        <v>0</v>
      </c>
      <c r="V16" s="184">
        <f t="shared" si="0"/>
        <v>0</v>
      </c>
      <c r="W16" s="184">
        <f t="shared" si="0"/>
        <v>0</v>
      </c>
      <c r="X16" s="184">
        <f t="shared" si="0"/>
        <v>0</v>
      </c>
      <c r="Y16" s="184">
        <f t="shared" si="0"/>
        <v>0</v>
      </c>
      <c r="Z16" s="184">
        <f t="shared" si="0"/>
        <v>0</v>
      </c>
      <c r="AA16" s="184">
        <f t="shared" si="0"/>
        <v>0</v>
      </c>
      <c r="AB16" s="184">
        <f t="shared" si="0"/>
        <v>0</v>
      </c>
      <c r="AC16" s="184">
        <f t="shared" si="0"/>
        <v>0</v>
      </c>
      <c r="AD16" s="184">
        <f t="shared" si="0"/>
        <v>0</v>
      </c>
      <c r="AE16" s="184">
        <f t="shared" si="0"/>
        <v>0</v>
      </c>
      <c r="AF16" s="184">
        <f t="shared" si="0"/>
        <v>0</v>
      </c>
      <c r="AG16" s="184">
        <f t="shared" si="0"/>
        <v>0</v>
      </c>
      <c r="AH16" s="184">
        <f t="shared" si="0"/>
        <v>0</v>
      </c>
      <c r="AI16" s="184">
        <f t="shared" si="0"/>
        <v>0</v>
      </c>
      <c r="AJ16" s="184">
        <f t="shared" si="0"/>
        <v>0</v>
      </c>
      <c r="AK16" s="184">
        <f t="shared" si="0"/>
        <v>0</v>
      </c>
      <c r="AL16" s="184">
        <f t="shared" si="0"/>
        <v>0</v>
      </c>
      <c r="AM16" s="184">
        <f t="shared" si="0"/>
        <v>0</v>
      </c>
      <c r="AN16" s="184">
        <f t="shared" si="0"/>
        <v>0</v>
      </c>
      <c r="AO16" s="184">
        <f t="shared" si="0"/>
        <v>6.4</v>
      </c>
      <c r="AP16" s="320">
        <f t="shared" si="0"/>
        <v>347</v>
      </c>
      <c r="AQ16" s="184">
        <f t="shared" si="0"/>
        <v>0</v>
      </c>
      <c r="AR16" s="184">
        <f t="shared" si="0"/>
        <v>0</v>
      </c>
      <c r="AS16" s="184">
        <f t="shared" si="0"/>
        <v>0</v>
      </c>
      <c r="AT16" s="184">
        <f t="shared" si="0"/>
        <v>0</v>
      </c>
      <c r="AU16" s="184">
        <f t="shared" si="0"/>
        <v>0</v>
      </c>
      <c r="AV16" s="184">
        <f t="shared" si="0"/>
        <v>0</v>
      </c>
      <c r="AW16" s="184">
        <f t="shared" si="0"/>
        <v>0</v>
      </c>
      <c r="AX16" s="184">
        <f t="shared" si="0"/>
        <v>0</v>
      </c>
      <c r="AY16" s="184">
        <f t="shared" si="0"/>
        <v>0</v>
      </c>
      <c r="AZ16" s="184">
        <f t="shared" si="0"/>
        <v>0</v>
      </c>
      <c r="BA16" s="184">
        <f t="shared" si="0"/>
        <v>0</v>
      </c>
      <c r="BB16" s="184">
        <f t="shared" si="0"/>
        <v>7.9</v>
      </c>
      <c r="BC16" s="184">
        <f t="shared" si="0"/>
        <v>0</v>
      </c>
      <c r="BD16" s="184">
        <f t="shared" si="0"/>
        <v>0</v>
      </c>
      <c r="BE16" s="184">
        <f t="shared" si="0"/>
        <v>0.5</v>
      </c>
      <c r="BF16" s="320">
        <f t="shared" si="0"/>
        <v>287</v>
      </c>
      <c r="BG16" s="184">
        <f t="shared" si="0"/>
        <v>0</v>
      </c>
      <c r="BH16" s="184">
        <f t="shared" si="0"/>
        <v>0</v>
      </c>
      <c r="BI16" s="184">
        <f t="shared" si="0"/>
        <v>0</v>
      </c>
      <c r="BJ16" s="184">
        <f t="shared" si="0"/>
        <v>0</v>
      </c>
      <c r="BK16" s="184">
        <f t="shared" si="0"/>
        <v>0</v>
      </c>
      <c r="BL16" s="184">
        <f t="shared" si="0"/>
        <v>0</v>
      </c>
      <c r="BM16" s="184">
        <f t="shared" si="0"/>
        <v>0</v>
      </c>
      <c r="BN16" s="184">
        <f t="shared" si="0"/>
        <v>0</v>
      </c>
      <c r="BO16" s="184">
        <f t="shared" si="0"/>
        <v>0</v>
      </c>
      <c r="BP16" s="184">
        <f t="shared" ref="BP16" si="1">BP17</f>
        <v>0</v>
      </c>
      <c r="BQ16" s="184">
        <f t="shared" ref="BQ16" si="2">BQ17</f>
        <v>0</v>
      </c>
      <c r="BR16" s="184">
        <f t="shared" ref="BR16" si="3">BR17</f>
        <v>3.1319999999999997</v>
      </c>
      <c r="BS16" s="184">
        <f t="shared" ref="BS16" si="4">BS17</f>
        <v>0</v>
      </c>
      <c r="BT16" s="184">
        <f t="shared" ref="BT16" si="5">BT17</f>
        <v>0</v>
      </c>
      <c r="BU16" s="184">
        <f t="shared" ref="BU16" si="6">BU17</f>
        <v>0</v>
      </c>
      <c r="BV16" s="184">
        <f t="shared" ref="BV16" si="7">BV17</f>
        <v>171</v>
      </c>
      <c r="BW16" s="184">
        <f t="shared" ref="BW16" si="8">BW17</f>
        <v>1</v>
      </c>
      <c r="BX16" s="184">
        <f t="shared" ref="BX16" si="9">BX17</f>
        <v>0</v>
      </c>
      <c r="BY16" s="184">
        <f t="shared" ref="BY16" si="10">BY17</f>
        <v>0</v>
      </c>
      <c r="BZ16" s="184">
        <f t="shared" ref="BZ16" si="11">BZ17</f>
        <v>0</v>
      </c>
      <c r="CA16" s="184">
        <f t="shared" ref="CA16" si="12">CA17</f>
        <v>0</v>
      </c>
      <c r="CB16" s="184">
        <f t="shared" ref="CB16" si="13">CB17</f>
        <v>0</v>
      </c>
      <c r="CC16" s="184">
        <f t="shared" ref="CC16" si="14">CC17</f>
        <v>0</v>
      </c>
      <c r="CD16" s="184">
        <f t="shared" ref="CD16" si="15">CD17</f>
        <v>0</v>
      </c>
      <c r="CE16" s="184">
        <f t="shared" ref="CE16" si="16">CE17</f>
        <v>0</v>
      </c>
      <c r="CF16" s="184">
        <f t="shared" ref="CF16" si="17">CF17</f>
        <v>0</v>
      </c>
      <c r="CG16" s="184">
        <f t="shared" ref="CG16" si="18">CG17</f>
        <v>0</v>
      </c>
      <c r="CH16" s="184">
        <f t="shared" ref="CH16" si="19">CH17</f>
        <v>4.1319999999999997</v>
      </c>
      <c r="CI16" s="184">
        <f t="shared" ref="CI16" si="20">CI17</f>
        <v>0</v>
      </c>
      <c r="CJ16" s="184">
        <f t="shared" ref="CJ16" si="21">CJ17</f>
        <v>0</v>
      </c>
      <c r="CK16" s="184">
        <f t="shared" ref="CK16" si="22">CK17</f>
        <v>0.82000000000000006</v>
      </c>
      <c r="CL16" s="320">
        <f t="shared" ref="CL16" si="23">CL17</f>
        <v>201</v>
      </c>
      <c r="CM16" s="320">
        <f t="shared" ref="CM16" si="24">CM17</f>
        <v>1</v>
      </c>
      <c r="CN16" s="184">
        <f t="shared" ref="CN16" si="25">CN17</f>
        <v>0</v>
      </c>
      <c r="CO16" s="184">
        <f t="shared" ref="CO16" si="26">CO17</f>
        <v>0</v>
      </c>
      <c r="CP16" s="184">
        <f t="shared" ref="CP16" si="27">CP17</f>
        <v>0</v>
      </c>
      <c r="CQ16" s="184">
        <f t="shared" ref="CQ16" si="28">CQ17</f>
        <v>0</v>
      </c>
      <c r="CR16" s="184">
        <f t="shared" ref="CR16" si="29">CR17</f>
        <v>0</v>
      </c>
      <c r="CS16" s="184">
        <f t="shared" ref="CS16" si="30">CS17</f>
        <v>0</v>
      </c>
      <c r="CT16" s="184">
        <f t="shared" ref="CT16" si="31">CT17</f>
        <v>0</v>
      </c>
      <c r="CU16" s="184">
        <f t="shared" ref="CU16" si="32">CU17</f>
        <v>0</v>
      </c>
      <c r="CV16" s="184">
        <f t="shared" si="0"/>
        <v>0</v>
      </c>
      <c r="CW16" s="184">
        <f t="shared" ref="CW16:EA16" si="33">CW17</f>
        <v>0</v>
      </c>
      <c r="CX16" s="184">
        <f t="shared" si="33"/>
        <v>0</v>
      </c>
      <c r="CY16" s="184">
        <f t="shared" si="33"/>
        <v>0</v>
      </c>
      <c r="CZ16" s="184">
        <f t="shared" si="33"/>
        <v>0</v>
      </c>
      <c r="DA16" s="184">
        <f t="shared" si="33"/>
        <v>0</v>
      </c>
      <c r="DB16" s="320">
        <f t="shared" si="33"/>
        <v>213</v>
      </c>
      <c r="DC16" s="184">
        <f t="shared" si="33"/>
        <v>0</v>
      </c>
      <c r="DD16" s="184">
        <f t="shared" si="33"/>
        <v>0</v>
      </c>
      <c r="DE16" s="184">
        <f t="shared" si="33"/>
        <v>0</v>
      </c>
      <c r="DF16" s="184">
        <f t="shared" si="33"/>
        <v>0</v>
      </c>
      <c r="DG16" s="184">
        <f t="shared" si="33"/>
        <v>0</v>
      </c>
      <c r="DH16" s="184">
        <f t="shared" si="33"/>
        <v>0</v>
      </c>
      <c r="DI16" s="184">
        <f t="shared" si="33"/>
        <v>0</v>
      </c>
      <c r="DJ16" s="184">
        <f t="shared" si="33"/>
        <v>0</v>
      </c>
      <c r="DK16" s="184">
        <f t="shared" si="33"/>
        <v>0</v>
      </c>
      <c r="DL16" s="184">
        <f t="shared" si="33"/>
        <v>0</v>
      </c>
      <c r="DM16" s="184">
        <f t="shared" si="33"/>
        <v>0</v>
      </c>
      <c r="DN16" s="184">
        <f t="shared" si="33"/>
        <v>15.163999999999998</v>
      </c>
      <c r="DO16" s="184">
        <f t="shared" si="33"/>
        <v>0</v>
      </c>
      <c r="DP16" s="184">
        <f t="shared" si="33"/>
        <v>0</v>
      </c>
      <c r="DQ16" s="184">
        <f t="shared" si="33"/>
        <v>7.7200000000000006</v>
      </c>
      <c r="DR16" s="320">
        <f t="shared" si="33"/>
        <v>1219</v>
      </c>
      <c r="DS16" s="320">
        <f t="shared" si="33"/>
        <v>2</v>
      </c>
      <c r="DT16" s="184">
        <f t="shared" si="33"/>
        <v>0</v>
      </c>
      <c r="DU16" s="184">
        <f t="shared" si="33"/>
        <v>0</v>
      </c>
      <c r="DV16" s="184">
        <f t="shared" si="33"/>
        <v>0</v>
      </c>
      <c r="DW16" s="184">
        <f t="shared" si="33"/>
        <v>0</v>
      </c>
      <c r="DX16" s="184">
        <f t="shared" si="33"/>
        <v>0</v>
      </c>
      <c r="DY16" s="184">
        <f t="shared" si="33"/>
        <v>0</v>
      </c>
      <c r="DZ16" s="184">
        <f t="shared" si="33"/>
        <v>0</v>
      </c>
      <c r="EA16" s="184">
        <f t="shared" si="33"/>
        <v>0</v>
      </c>
      <c r="EB16" s="211"/>
    </row>
    <row r="17" spans="1:132" s="189" customFormat="1" x14ac:dyDescent="0.25">
      <c r="A17" s="186" t="s">
        <v>81</v>
      </c>
      <c r="B17" s="9" t="s">
        <v>36</v>
      </c>
      <c r="C17" s="187">
        <v>0</v>
      </c>
      <c r="D17" s="187">
        <f>D37+D72</f>
        <v>0</v>
      </c>
      <c r="E17" s="187">
        <f t="shared" ref="E17:CV17" si="34">E37+E72</f>
        <v>0</v>
      </c>
      <c r="F17" s="187">
        <f t="shared" si="34"/>
        <v>15.163999999999998</v>
      </c>
      <c r="G17" s="187">
        <f t="shared" si="34"/>
        <v>0</v>
      </c>
      <c r="H17" s="187">
        <f t="shared" si="34"/>
        <v>0</v>
      </c>
      <c r="I17" s="187">
        <f t="shared" si="34"/>
        <v>7.7200000000000006</v>
      </c>
      <c r="J17" s="321">
        <f t="shared" si="34"/>
        <v>1219</v>
      </c>
      <c r="K17" s="187">
        <f t="shared" si="34"/>
        <v>2</v>
      </c>
      <c r="L17" s="187">
        <f t="shared" si="34"/>
        <v>0</v>
      </c>
      <c r="M17" s="187">
        <f t="shared" si="34"/>
        <v>0</v>
      </c>
      <c r="N17" s="187">
        <f t="shared" si="34"/>
        <v>0</v>
      </c>
      <c r="O17" s="187">
        <f t="shared" si="34"/>
        <v>0</v>
      </c>
      <c r="P17" s="187">
        <f t="shared" si="34"/>
        <v>0</v>
      </c>
      <c r="Q17" s="187">
        <f t="shared" si="34"/>
        <v>0</v>
      </c>
      <c r="R17" s="187">
        <f t="shared" si="34"/>
        <v>0</v>
      </c>
      <c r="S17" s="187">
        <f t="shared" si="34"/>
        <v>0</v>
      </c>
      <c r="T17" s="187">
        <f t="shared" si="34"/>
        <v>0</v>
      </c>
      <c r="U17" s="187">
        <f t="shared" si="34"/>
        <v>0</v>
      </c>
      <c r="V17" s="187">
        <f t="shared" si="34"/>
        <v>0</v>
      </c>
      <c r="W17" s="187">
        <f t="shared" si="34"/>
        <v>0</v>
      </c>
      <c r="X17" s="187">
        <f t="shared" si="34"/>
        <v>0</v>
      </c>
      <c r="Y17" s="187">
        <f t="shared" si="34"/>
        <v>0</v>
      </c>
      <c r="Z17" s="187">
        <f t="shared" si="34"/>
        <v>0</v>
      </c>
      <c r="AA17" s="187">
        <f t="shared" si="34"/>
        <v>0</v>
      </c>
      <c r="AB17" s="187">
        <f t="shared" si="34"/>
        <v>0</v>
      </c>
      <c r="AC17" s="187">
        <f t="shared" si="34"/>
        <v>0</v>
      </c>
      <c r="AD17" s="187">
        <f t="shared" si="34"/>
        <v>0</v>
      </c>
      <c r="AE17" s="187">
        <f t="shared" si="34"/>
        <v>0</v>
      </c>
      <c r="AF17" s="187">
        <f t="shared" si="34"/>
        <v>0</v>
      </c>
      <c r="AG17" s="187">
        <f t="shared" si="34"/>
        <v>0</v>
      </c>
      <c r="AH17" s="187">
        <f t="shared" si="34"/>
        <v>0</v>
      </c>
      <c r="AI17" s="187">
        <f t="shared" si="34"/>
        <v>0</v>
      </c>
      <c r="AJ17" s="187">
        <f t="shared" si="34"/>
        <v>0</v>
      </c>
      <c r="AK17" s="187">
        <f t="shared" si="34"/>
        <v>0</v>
      </c>
      <c r="AL17" s="187">
        <f t="shared" si="34"/>
        <v>0</v>
      </c>
      <c r="AM17" s="187">
        <f t="shared" si="34"/>
        <v>0</v>
      </c>
      <c r="AN17" s="187">
        <f t="shared" si="34"/>
        <v>0</v>
      </c>
      <c r="AO17" s="187">
        <f t="shared" si="34"/>
        <v>6.4</v>
      </c>
      <c r="AP17" s="321">
        <f t="shared" si="34"/>
        <v>347</v>
      </c>
      <c r="AQ17" s="187">
        <f t="shared" si="34"/>
        <v>0</v>
      </c>
      <c r="AR17" s="187">
        <f t="shared" si="34"/>
        <v>0</v>
      </c>
      <c r="AS17" s="187">
        <f t="shared" si="34"/>
        <v>0</v>
      </c>
      <c r="AT17" s="187">
        <f t="shared" si="34"/>
        <v>0</v>
      </c>
      <c r="AU17" s="187">
        <f t="shared" si="34"/>
        <v>0</v>
      </c>
      <c r="AV17" s="187">
        <f t="shared" si="34"/>
        <v>0</v>
      </c>
      <c r="AW17" s="187">
        <f t="shared" si="34"/>
        <v>0</v>
      </c>
      <c r="AX17" s="187">
        <f t="shared" si="34"/>
        <v>0</v>
      </c>
      <c r="AY17" s="187">
        <f t="shared" si="34"/>
        <v>0</v>
      </c>
      <c r="AZ17" s="187">
        <f t="shared" si="34"/>
        <v>0</v>
      </c>
      <c r="BA17" s="187">
        <f t="shared" si="34"/>
        <v>0</v>
      </c>
      <c r="BB17" s="187">
        <f t="shared" si="34"/>
        <v>7.9</v>
      </c>
      <c r="BC17" s="187">
        <f t="shared" si="34"/>
        <v>0</v>
      </c>
      <c r="BD17" s="187">
        <f t="shared" si="34"/>
        <v>0</v>
      </c>
      <c r="BE17" s="187">
        <f t="shared" si="34"/>
        <v>0.5</v>
      </c>
      <c r="BF17" s="321">
        <f t="shared" si="34"/>
        <v>287</v>
      </c>
      <c r="BG17" s="187">
        <f t="shared" si="34"/>
        <v>0</v>
      </c>
      <c r="BH17" s="187">
        <f t="shared" si="34"/>
        <v>0</v>
      </c>
      <c r="BI17" s="187">
        <f t="shared" si="34"/>
        <v>0</v>
      </c>
      <c r="BJ17" s="187">
        <f t="shared" si="34"/>
        <v>0</v>
      </c>
      <c r="BK17" s="187">
        <f t="shared" si="34"/>
        <v>0</v>
      </c>
      <c r="BL17" s="187">
        <f t="shared" si="34"/>
        <v>0</v>
      </c>
      <c r="BM17" s="187">
        <f t="shared" si="34"/>
        <v>0</v>
      </c>
      <c r="BN17" s="187">
        <f t="shared" si="34"/>
        <v>0</v>
      </c>
      <c r="BO17" s="187">
        <f t="shared" si="34"/>
        <v>0</v>
      </c>
      <c r="BP17" s="187">
        <f t="shared" si="34"/>
        <v>0</v>
      </c>
      <c r="BQ17" s="187">
        <f t="shared" si="34"/>
        <v>0</v>
      </c>
      <c r="BR17" s="187">
        <f t="shared" si="34"/>
        <v>3.1319999999999997</v>
      </c>
      <c r="BS17" s="187">
        <f t="shared" si="34"/>
        <v>0</v>
      </c>
      <c r="BT17" s="187">
        <f t="shared" si="34"/>
        <v>0</v>
      </c>
      <c r="BU17" s="187">
        <f t="shared" si="34"/>
        <v>0</v>
      </c>
      <c r="BV17" s="187">
        <f t="shared" si="34"/>
        <v>171</v>
      </c>
      <c r="BW17" s="187">
        <f t="shared" si="34"/>
        <v>1</v>
      </c>
      <c r="BX17" s="187">
        <f t="shared" si="34"/>
        <v>0</v>
      </c>
      <c r="BY17" s="187">
        <f t="shared" si="34"/>
        <v>0</v>
      </c>
      <c r="BZ17" s="187">
        <f t="shared" si="34"/>
        <v>0</v>
      </c>
      <c r="CA17" s="187">
        <f t="shared" si="34"/>
        <v>0</v>
      </c>
      <c r="CB17" s="187">
        <f t="shared" si="34"/>
        <v>0</v>
      </c>
      <c r="CC17" s="187">
        <f t="shared" si="34"/>
        <v>0</v>
      </c>
      <c r="CD17" s="187">
        <f t="shared" si="34"/>
        <v>0</v>
      </c>
      <c r="CE17" s="187">
        <f t="shared" si="34"/>
        <v>0</v>
      </c>
      <c r="CF17" s="187">
        <f t="shared" ref="CF17:CU17" si="35">CF37+CF72</f>
        <v>0</v>
      </c>
      <c r="CG17" s="187">
        <f t="shared" si="35"/>
        <v>0</v>
      </c>
      <c r="CH17" s="187">
        <f t="shared" si="35"/>
        <v>4.1319999999999997</v>
      </c>
      <c r="CI17" s="187">
        <f t="shared" si="35"/>
        <v>0</v>
      </c>
      <c r="CJ17" s="187">
        <f t="shared" si="35"/>
        <v>0</v>
      </c>
      <c r="CK17" s="187">
        <f t="shared" si="35"/>
        <v>0.82000000000000006</v>
      </c>
      <c r="CL17" s="321">
        <f t="shared" si="35"/>
        <v>201</v>
      </c>
      <c r="CM17" s="321">
        <f t="shared" si="35"/>
        <v>1</v>
      </c>
      <c r="CN17" s="187">
        <f t="shared" si="35"/>
        <v>0</v>
      </c>
      <c r="CO17" s="187">
        <f t="shared" si="35"/>
        <v>0</v>
      </c>
      <c r="CP17" s="187">
        <f t="shared" si="35"/>
        <v>0</v>
      </c>
      <c r="CQ17" s="187">
        <f t="shared" si="35"/>
        <v>0</v>
      </c>
      <c r="CR17" s="187">
        <f t="shared" si="35"/>
        <v>0</v>
      </c>
      <c r="CS17" s="187">
        <f t="shared" si="35"/>
        <v>0</v>
      </c>
      <c r="CT17" s="187">
        <f t="shared" si="35"/>
        <v>0</v>
      </c>
      <c r="CU17" s="187">
        <f t="shared" si="35"/>
        <v>0</v>
      </c>
      <c r="CV17" s="187">
        <f t="shared" si="34"/>
        <v>0</v>
      </c>
      <c r="CW17" s="187">
        <f t="shared" ref="CW17:EA17" si="36">CW37+CW72</f>
        <v>0</v>
      </c>
      <c r="CX17" s="187">
        <f t="shared" si="36"/>
        <v>0</v>
      </c>
      <c r="CY17" s="187">
        <f t="shared" si="36"/>
        <v>0</v>
      </c>
      <c r="CZ17" s="187">
        <f t="shared" si="36"/>
        <v>0</v>
      </c>
      <c r="DA17" s="187">
        <f t="shared" si="36"/>
        <v>0</v>
      </c>
      <c r="DB17" s="321">
        <f t="shared" si="36"/>
        <v>213</v>
      </c>
      <c r="DC17" s="187">
        <f t="shared" si="36"/>
        <v>0</v>
      </c>
      <c r="DD17" s="187">
        <f t="shared" si="36"/>
        <v>0</v>
      </c>
      <c r="DE17" s="187">
        <f t="shared" si="36"/>
        <v>0</v>
      </c>
      <c r="DF17" s="187">
        <f t="shared" si="36"/>
        <v>0</v>
      </c>
      <c r="DG17" s="187">
        <f t="shared" si="36"/>
        <v>0</v>
      </c>
      <c r="DH17" s="187">
        <f t="shared" si="36"/>
        <v>0</v>
      </c>
      <c r="DI17" s="187">
        <f t="shared" si="36"/>
        <v>0</v>
      </c>
      <c r="DJ17" s="187">
        <f t="shared" si="36"/>
        <v>0</v>
      </c>
      <c r="DK17" s="187">
        <f t="shared" si="36"/>
        <v>0</v>
      </c>
      <c r="DL17" s="187">
        <f t="shared" si="36"/>
        <v>0</v>
      </c>
      <c r="DM17" s="187">
        <f t="shared" si="36"/>
        <v>0</v>
      </c>
      <c r="DN17" s="187">
        <f t="shared" si="36"/>
        <v>15.163999999999998</v>
      </c>
      <c r="DO17" s="187">
        <f t="shared" si="36"/>
        <v>0</v>
      </c>
      <c r="DP17" s="187">
        <f t="shared" si="36"/>
        <v>0</v>
      </c>
      <c r="DQ17" s="187">
        <f t="shared" si="36"/>
        <v>7.7200000000000006</v>
      </c>
      <c r="DR17" s="321">
        <f t="shared" si="36"/>
        <v>1219</v>
      </c>
      <c r="DS17" s="321">
        <f t="shared" si="36"/>
        <v>2</v>
      </c>
      <c r="DT17" s="187">
        <f t="shared" si="36"/>
        <v>0</v>
      </c>
      <c r="DU17" s="187">
        <f t="shared" si="36"/>
        <v>0</v>
      </c>
      <c r="DV17" s="187">
        <f t="shared" si="36"/>
        <v>0</v>
      </c>
      <c r="DW17" s="187">
        <f t="shared" si="36"/>
        <v>0</v>
      </c>
      <c r="DX17" s="187">
        <f t="shared" si="36"/>
        <v>0</v>
      </c>
      <c r="DY17" s="187">
        <f t="shared" si="36"/>
        <v>0</v>
      </c>
      <c r="DZ17" s="187">
        <f t="shared" si="36"/>
        <v>0</v>
      </c>
      <c r="EA17" s="187">
        <f t="shared" si="36"/>
        <v>0</v>
      </c>
      <c r="EB17" s="213"/>
    </row>
    <row r="18" spans="1:132" s="185" customFormat="1" x14ac:dyDescent="0.25">
      <c r="A18" s="183" t="s">
        <v>37</v>
      </c>
      <c r="B18" s="64" t="s">
        <v>38</v>
      </c>
      <c r="C18" s="184">
        <v>0</v>
      </c>
      <c r="D18" s="184">
        <f>D35</f>
        <v>0</v>
      </c>
      <c r="E18" s="184">
        <f t="shared" ref="E18:BE18" si="37">E35</f>
        <v>0</v>
      </c>
      <c r="F18" s="184">
        <f t="shared" si="37"/>
        <v>0</v>
      </c>
      <c r="G18" s="184">
        <f t="shared" si="37"/>
        <v>0</v>
      </c>
      <c r="H18" s="184">
        <f t="shared" si="37"/>
        <v>0</v>
      </c>
      <c r="I18" s="184">
        <f t="shared" si="37"/>
        <v>0</v>
      </c>
      <c r="J18" s="184"/>
      <c r="K18" s="184">
        <f t="shared" si="37"/>
        <v>0</v>
      </c>
      <c r="L18" s="184">
        <f t="shared" si="37"/>
        <v>0</v>
      </c>
      <c r="M18" s="184">
        <f t="shared" si="37"/>
        <v>0</v>
      </c>
      <c r="N18" s="184">
        <f t="shared" si="37"/>
        <v>0</v>
      </c>
      <c r="O18" s="184">
        <f t="shared" si="37"/>
        <v>0</v>
      </c>
      <c r="P18" s="184">
        <f t="shared" si="37"/>
        <v>0</v>
      </c>
      <c r="Q18" s="184">
        <f t="shared" si="37"/>
        <v>0</v>
      </c>
      <c r="R18" s="184"/>
      <c r="S18" s="184">
        <f t="shared" si="37"/>
        <v>0</v>
      </c>
      <c r="T18" s="184">
        <f t="shared" si="37"/>
        <v>0</v>
      </c>
      <c r="U18" s="184">
        <f t="shared" si="37"/>
        <v>0</v>
      </c>
      <c r="V18" s="184">
        <f t="shared" si="37"/>
        <v>0</v>
      </c>
      <c r="W18" s="184">
        <f t="shared" si="37"/>
        <v>0</v>
      </c>
      <c r="X18" s="184">
        <f t="shared" si="37"/>
        <v>0</v>
      </c>
      <c r="Y18" s="184">
        <f t="shared" si="37"/>
        <v>0</v>
      </c>
      <c r="Z18" s="184"/>
      <c r="AA18" s="184">
        <f t="shared" si="37"/>
        <v>0</v>
      </c>
      <c r="AB18" s="184">
        <f t="shared" si="37"/>
        <v>0</v>
      </c>
      <c r="AC18" s="184">
        <f t="shared" si="37"/>
        <v>0</v>
      </c>
      <c r="AD18" s="184">
        <f t="shared" si="37"/>
        <v>0</v>
      </c>
      <c r="AE18" s="184">
        <f t="shared" si="37"/>
        <v>0</v>
      </c>
      <c r="AF18" s="184">
        <f t="shared" si="37"/>
        <v>0</v>
      </c>
      <c r="AG18" s="184">
        <f t="shared" si="37"/>
        <v>0</v>
      </c>
      <c r="AH18" s="184"/>
      <c r="AI18" s="184">
        <f t="shared" si="37"/>
        <v>0</v>
      </c>
      <c r="AJ18" s="184">
        <f t="shared" si="37"/>
        <v>0</v>
      </c>
      <c r="AK18" s="184">
        <f t="shared" si="37"/>
        <v>0</v>
      </c>
      <c r="AL18" s="184">
        <f t="shared" si="37"/>
        <v>0</v>
      </c>
      <c r="AM18" s="184">
        <f t="shared" si="37"/>
        <v>0</v>
      </c>
      <c r="AN18" s="184">
        <f t="shared" si="37"/>
        <v>0</v>
      </c>
      <c r="AO18" s="184">
        <f t="shared" si="37"/>
        <v>0</v>
      </c>
      <c r="AP18" s="320"/>
      <c r="AQ18" s="184">
        <f t="shared" si="37"/>
        <v>0</v>
      </c>
      <c r="AR18" s="184">
        <f t="shared" si="37"/>
        <v>0</v>
      </c>
      <c r="AS18" s="184">
        <f t="shared" si="37"/>
        <v>0</v>
      </c>
      <c r="AT18" s="184">
        <f t="shared" si="37"/>
        <v>0</v>
      </c>
      <c r="AU18" s="184">
        <f t="shared" si="37"/>
        <v>0</v>
      </c>
      <c r="AV18" s="184">
        <f t="shared" si="37"/>
        <v>0</v>
      </c>
      <c r="AW18" s="184">
        <f t="shared" si="37"/>
        <v>0</v>
      </c>
      <c r="AX18" s="184"/>
      <c r="AY18" s="184">
        <f t="shared" si="37"/>
        <v>0</v>
      </c>
      <c r="AZ18" s="184">
        <f t="shared" si="37"/>
        <v>0</v>
      </c>
      <c r="BA18" s="184">
        <f t="shared" si="37"/>
        <v>0</v>
      </c>
      <c r="BB18" s="184">
        <f t="shared" si="37"/>
        <v>0</v>
      </c>
      <c r="BC18" s="184">
        <f t="shared" si="37"/>
        <v>0</v>
      </c>
      <c r="BD18" s="184">
        <f t="shared" si="37"/>
        <v>0</v>
      </c>
      <c r="BE18" s="184">
        <f t="shared" si="37"/>
        <v>0</v>
      </c>
      <c r="BF18" s="320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320"/>
      <c r="CM18" s="320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320"/>
      <c r="DC18" s="211"/>
      <c r="DD18" s="211"/>
      <c r="DE18" s="211"/>
      <c r="DF18" s="211"/>
      <c r="DG18" s="211"/>
      <c r="DH18" s="211"/>
      <c r="DI18" s="211"/>
      <c r="DJ18" s="211"/>
      <c r="DK18" s="211"/>
      <c r="DL18" s="184">
        <f>DL35</f>
        <v>0</v>
      </c>
      <c r="DM18" s="184">
        <f t="shared" ref="DM18:EA18" si="38">DM35</f>
        <v>0</v>
      </c>
      <c r="DN18" s="184">
        <f t="shared" si="38"/>
        <v>0</v>
      </c>
      <c r="DO18" s="184">
        <f t="shared" si="38"/>
        <v>0</v>
      </c>
      <c r="DP18" s="184">
        <f t="shared" si="38"/>
        <v>0</v>
      </c>
      <c r="DQ18" s="184">
        <f t="shared" si="38"/>
        <v>0</v>
      </c>
      <c r="DR18" s="320"/>
      <c r="DS18" s="320">
        <f t="shared" si="38"/>
        <v>0</v>
      </c>
      <c r="DT18" s="184">
        <f t="shared" si="38"/>
        <v>0</v>
      </c>
      <c r="DU18" s="184">
        <f t="shared" si="38"/>
        <v>0</v>
      </c>
      <c r="DV18" s="184">
        <f t="shared" si="38"/>
        <v>0</v>
      </c>
      <c r="DW18" s="184">
        <f t="shared" si="38"/>
        <v>0</v>
      </c>
      <c r="DX18" s="184">
        <f t="shared" si="38"/>
        <v>0</v>
      </c>
      <c r="DY18" s="184">
        <f t="shared" si="38"/>
        <v>0</v>
      </c>
      <c r="DZ18" s="184"/>
      <c r="EA18" s="184">
        <f t="shared" si="38"/>
        <v>0</v>
      </c>
      <c r="EB18" s="211"/>
    </row>
    <row r="19" spans="1:132" s="193" customFormat="1" ht="31.5" hidden="1" outlineLevel="1" x14ac:dyDescent="0.25">
      <c r="A19" s="190" t="s">
        <v>82</v>
      </c>
      <c r="B19" s="10" t="s">
        <v>83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463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463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463"/>
      <c r="CM19" s="463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463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463"/>
      <c r="DS19" s="463"/>
      <c r="DT19" s="210"/>
      <c r="DU19" s="210"/>
      <c r="DV19" s="210"/>
      <c r="DW19" s="210"/>
      <c r="DX19" s="210"/>
      <c r="DY19" s="210"/>
      <c r="DZ19" s="210"/>
      <c r="EA19" s="210"/>
      <c r="EB19" s="210"/>
    </row>
    <row r="20" spans="1:132" s="189" customFormat="1" ht="47.25" hidden="1" outlineLevel="1" x14ac:dyDescent="0.25">
      <c r="A20" s="186" t="s">
        <v>84</v>
      </c>
      <c r="B20" s="9" t="s">
        <v>85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321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321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321"/>
      <c r="CM20" s="321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321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321"/>
      <c r="DS20" s="321"/>
      <c r="DT20" s="213"/>
      <c r="DU20" s="213"/>
      <c r="DV20" s="213"/>
      <c r="DW20" s="213"/>
      <c r="DX20" s="213"/>
      <c r="DY20" s="213"/>
      <c r="DZ20" s="213"/>
      <c r="EA20" s="213"/>
      <c r="EB20" s="213"/>
    </row>
    <row r="21" spans="1:132" s="189" customFormat="1" ht="47.25" hidden="1" outlineLevel="1" x14ac:dyDescent="0.25">
      <c r="A21" s="186" t="s">
        <v>86</v>
      </c>
      <c r="B21" s="9" t="s">
        <v>87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321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321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321"/>
      <c r="CM21" s="321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321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321"/>
      <c r="DS21" s="321"/>
      <c r="DT21" s="213"/>
      <c r="DU21" s="213"/>
      <c r="DV21" s="213"/>
      <c r="DW21" s="213"/>
      <c r="DX21" s="213"/>
      <c r="DY21" s="213"/>
      <c r="DZ21" s="213"/>
      <c r="EA21" s="213"/>
      <c r="EB21" s="213"/>
    </row>
    <row r="22" spans="1:132" s="189" customFormat="1" ht="31.5" hidden="1" outlineLevel="1" x14ac:dyDescent="0.25">
      <c r="A22" s="186" t="s">
        <v>88</v>
      </c>
      <c r="B22" s="9" t="s">
        <v>89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321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321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321"/>
      <c r="CM22" s="321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321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321"/>
      <c r="DS22" s="321"/>
      <c r="DT22" s="213"/>
      <c r="DU22" s="213"/>
      <c r="DV22" s="213"/>
      <c r="DW22" s="213"/>
      <c r="DX22" s="213"/>
      <c r="DY22" s="213"/>
      <c r="DZ22" s="213"/>
      <c r="EA22" s="213"/>
      <c r="EB22" s="213"/>
    </row>
    <row r="23" spans="1:132" s="193" customFormat="1" ht="31.5" hidden="1" outlineLevel="1" x14ac:dyDescent="0.25">
      <c r="A23" s="190" t="s">
        <v>90</v>
      </c>
      <c r="B23" s="10" t="s">
        <v>91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463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463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463"/>
      <c r="CM23" s="463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463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463"/>
      <c r="DS23" s="463"/>
      <c r="DT23" s="210"/>
      <c r="DU23" s="210"/>
      <c r="DV23" s="210"/>
      <c r="DW23" s="210"/>
      <c r="DX23" s="210"/>
      <c r="DY23" s="210"/>
      <c r="DZ23" s="210"/>
      <c r="EA23" s="210"/>
      <c r="EB23" s="210"/>
    </row>
    <row r="24" spans="1:132" s="189" customFormat="1" ht="47.25" hidden="1" outlineLevel="1" x14ac:dyDescent="0.25">
      <c r="A24" s="186" t="s">
        <v>92</v>
      </c>
      <c r="B24" s="9" t="s">
        <v>93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321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321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321"/>
      <c r="CM24" s="321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321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321"/>
      <c r="DS24" s="321"/>
      <c r="DT24" s="213"/>
      <c r="DU24" s="213"/>
      <c r="DV24" s="213"/>
      <c r="DW24" s="213"/>
      <c r="DX24" s="213"/>
      <c r="DY24" s="213"/>
      <c r="DZ24" s="213"/>
      <c r="EA24" s="213"/>
      <c r="EB24" s="213"/>
    </row>
    <row r="25" spans="1:132" s="189" customFormat="1" ht="31.5" hidden="1" outlineLevel="1" x14ac:dyDescent="0.25">
      <c r="A25" s="186" t="s">
        <v>94</v>
      </c>
      <c r="B25" s="9" t="s">
        <v>95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321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321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321"/>
      <c r="CM25" s="321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321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321"/>
      <c r="DS25" s="321"/>
      <c r="DT25" s="213"/>
      <c r="DU25" s="213"/>
      <c r="DV25" s="213"/>
      <c r="DW25" s="213"/>
      <c r="DX25" s="213"/>
      <c r="DY25" s="213"/>
      <c r="DZ25" s="213"/>
      <c r="EA25" s="213"/>
      <c r="EB25" s="213"/>
    </row>
    <row r="26" spans="1:132" s="193" customFormat="1" ht="31.5" hidden="1" outlineLevel="1" x14ac:dyDescent="0.25">
      <c r="A26" s="190" t="s">
        <v>96</v>
      </c>
      <c r="B26" s="10" t="s">
        <v>97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463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463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463"/>
      <c r="CM26" s="463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463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463"/>
      <c r="DS26" s="463"/>
      <c r="DT26" s="210"/>
      <c r="DU26" s="210"/>
      <c r="DV26" s="210"/>
      <c r="DW26" s="210"/>
      <c r="DX26" s="210"/>
      <c r="DY26" s="210"/>
      <c r="DZ26" s="210"/>
      <c r="EA26" s="210"/>
      <c r="EB26" s="210"/>
    </row>
    <row r="27" spans="1:132" s="189" customFormat="1" ht="31.5" hidden="1" outlineLevel="1" x14ac:dyDescent="0.25">
      <c r="A27" s="186" t="s">
        <v>98</v>
      </c>
      <c r="B27" s="9" t="s">
        <v>99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321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321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321"/>
      <c r="CM27" s="321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321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321"/>
      <c r="DS27" s="321"/>
      <c r="DT27" s="213"/>
      <c r="DU27" s="213"/>
      <c r="DV27" s="213"/>
      <c r="DW27" s="213"/>
      <c r="DX27" s="213"/>
      <c r="DY27" s="213"/>
      <c r="DZ27" s="213"/>
      <c r="EA27" s="213"/>
      <c r="EB27" s="213"/>
    </row>
    <row r="28" spans="1:132" s="189" customFormat="1" ht="63" hidden="1" outlineLevel="1" x14ac:dyDescent="0.25">
      <c r="A28" s="186" t="s">
        <v>103</v>
      </c>
      <c r="B28" s="9" t="s">
        <v>100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321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321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321"/>
      <c r="CM28" s="321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321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321"/>
      <c r="DS28" s="321"/>
      <c r="DT28" s="213"/>
      <c r="DU28" s="213"/>
      <c r="DV28" s="213"/>
      <c r="DW28" s="213"/>
      <c r="DX28" s="213"/>
      <c r="DY28" s="213"/>
      <c r="DZ28" s="213"/>
      <c r="EA28" s="213"/>
      <c r="EB28" s="213"/>
    </row>
    <row r="29" spans="1:132" s="189" customFormat="1" ht="63" hidden="1" outlineLevel="1" x14ac:dyDescent="0.25">
      <c r="A29" s="186" t="s">
        <v>105</v>
      </c>
      <c r="B29" s="9" t="s">
        <v>101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321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321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321"/>
      <c r="CM29" s="321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321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321"/>
      <c r="DS29" s="321"/>
      <c r="DT29" s="213"/>
      <c r="DU29" s="213"/>
      <c r="DV29" s="213"/>
      <c r="DW29" s="213"/>
      <c r="DX29" s="213"/>
      <c r="DY29" s="213"/>
      <c r="DZ29" s="213"/>
      <c r="EA29" s="213"/>
      <c r="EB29" s="213"/>
    </row>
    <row r="30" spans="1:132" s="189" customFormat="1" ht="63" hidden="1" outlineLevel="1" x14ac:dyDescent="0.25">
      <c r="A30" s="186" t="s">
        <v>106</v>
      </c>
      <c r="B30" s="9" t="s">
        <v>102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321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321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321"/>
      <c r="CM30" s="321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321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321"/>
      <c r="DS30" s="321"/>
      <c r="DT30" s="213"/>
      <c r="DU30" s="213"/>
      <c r="DV30" s="213"/>
      <c r="DW30" s="213"/>
      <c r="DX30" s="213"/>
      <c r="DY30" s="213"/>
      <c r="DZ30" s="213"/>
      <c r="EA30" s="213"/>
      <c r="EB30" s="213"/>
    </row>
    <row r="31" spans="1:132" s="189" customFormat="1" ht="31.5" hidden="1" outlineLevel="1" x14ac:dyDescent="0.25">
      <c r="A31" s="186" t="s">
        <v>107</v>
      </c>
      <c r="B31" s="9" t="s">
        <v>99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321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321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321"/>
      <c r="CM31" s="321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321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321"/>
      <c r="DS31" s="321"/>
      <c r="DT31" s="213"/>
      <c r="DU31" s="213"/>
      <c r="DV31" s="213"/>
      <c r="DW31" s="213"/>
      <c r="DX31" s="213"/>
      <c r="DY31" s="213"/>
      <c r="DZ31" s="213"/>
      <c r="EA31" s="213"/>
      <c r="EB31" s="213"/>
    </row>
    <row r="32" spans="1:132" s="189" customFormat="1" ht="63" hidden="1" outlineLevel="1" x14ac:dyDescent="0.25">
      <c r="A32" s="186" t="s">
        <v>108</v>
      </c>
      <c r="B32" s="9" t="s">
        <v>100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321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321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321"/>
      <c r="CM32" s="321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321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321"/>
      <c r="DS32" s="321"/>
      <c r="DT32" s="213"/>
      <c r="DU32" s="213"/>
      <c r="DV32" s="213"/>
      <c r="DW32" s="213"/>
      <c r="DX32" s="213"/>
      <c r="DY32" s="213"/>
      <c r="DZ32" s="213"/>
      <c r="EA32" s="213"/>
      <c r="EB32" s="213"/>
    </row>
    <row r="33" spans="1:132" s="189" customFormat="1" ht="63" hidden="1" outlineLevel="1" x14ac:dyDescent="0.25">
      <c r="A33" s="186" t="s">
        <v>109</v>
      </c>
      <c r="B33" s="9" t="s">
        <v>101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321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321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321"/>
      <c r="CM33" s="321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321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321"/>
      <c r="DS33" s="321"/>
      <c r="DT33" s="213"/>
      <c r="DU33" s="213"/>
      <c r="DV33" s="213"/>
      <c r="DW33" s="213"/>
      <c r="DX33" s="213"/>
      <c r="DY33" s="213"/>
      <c r="DZ33" s="213"/>
      <c r="EA33" s="213"/>
      <c r="EB33" s="213"/>
    </row>
    <row r="34" spans="1:132" s="189" customFormat="1" ht="63" hidden="1" outlineLevel="1" x14ac:dyDescent="0.25">
      <c r="A34" s="186" t="s">
        <v>110</v>
      </c>
      <c r="B34" s="9" t="s">
        <v>104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321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321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321"/>
      <c r="CM34" s="321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321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321"/>
      <c r="DS34" s="321"/>
      <c r="DT34" s="213"/>
      <c r="DU34" s="213"/>
      <c r="DV34" s="213"/>
      <c r="DW34" s="213"/>
      <c r="DX34" s="213"/>
      <c r="DY34" s="213"/>
      <c r="DZ34" s="213"/>
      <c r="EA34" s="213"/>
      <c r="EB34" s="213"/>
    </row>
    <row r="35" spans="1:132" s="196" customFormat="1" ht="63" collapsed="1" x14ac:dyDescent="0.25">
      <c r="A35" s="194" t="s">
        <v>39</v>
      </c>
      <c r="B35" s="65" t="s">
        <v>40</v>
      </c>
      <c r="C35" s="195">
        <v>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318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318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318"/>
      <c r="CM35" s="318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318"/>
      <c r="DC35" s="209"/>
      <c r="DD35" s="209"/>
      <c r="DE35" s="209"/>
      <c r="DF35" s="209"/>
      <c r="DG35" s="209"/>
      <c r="DH35" s="209"/>
      <c r="DI35" s="209"/>
      <c r="DJ35" s="209"/>
      <c r="DK35" s="209"/>
      <c r="DL35" s="195"/>
      <c r="DM35" s="195"/>
      <c r="DN35" s="195"/>
      <c r="DO35" s="195"/>
      <c r="DP35" s="195"/>
      <c r="DQ35" s="209"/>
      <c r="DR35" s="318"/>
      <c r="DS35" s="318"/>
      <c r="DT35" s="209"/>
      <c r="DU35" s="209"/>
      <c r="DV35" s="209"/>
      <c r="DW35" s="209"/>
      <c r="DX35" s="209"/>
      <c r="DY35" s="209"/>
      <c r="DZ35" s="209"/>
      <c r="EA35" s="209"/>
      <c r="EB35" s="209"/>
    </row>
    <row r="36" spans="1:132" s="193" customFormat="1" ht="47.25" hidden="1" x14ac:dyDescent="0.25">
      <c r="A36" s="190" t="s">
        <v>111</v>
      </c>
      <c r="B36" s="10" t="s">
        <v>41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463"/>
      <c r="AQ36" s="191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463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463"/>
      <c r="CM36" s="463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463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463"/>
      <c r="DS36" s="463"/>
      <c r="DT36" s="210"/>
      <c r="DU36" s="210"/>
      <c r="DV36" s="210"/>
      <c r="DW36" s="210"/>
      <c r="DX36" s="210"/>
      <c r="DY36" s="210"/>
      <c r="DZ36" s="210"/>
      <c r="EA36" s="210"/>
      <c r="EB36" s="210"/>
    </row>
    <row r="37" spans="1:132" s="185" customFormat="1" ht="31.5" x14ac:dyDescent="0.25">
      <c r="A37" s="183" t="s">
        <v>42</v>
      </c>
      <c r="B37" s="64" t="s">
        <v>43</v>
      </c>
      <c r="C37" s="184">
        <v>0</v>
      </c>
      <c r="D37" s="184">
        <f>D38+D44+D51</f>
        <v>0</v>
      </c>
      <c r="E37" s="184">
        <f t="shared" ref="E37:CV37" si="39">E38+E44+E51</f>
        <v>0</v>
      </c>
      <c r="F37" s="184">
        <f t="shared" si="39"/>
        <v>15.163999999999998</v>
      </c>
      <c r="G37" s="184">
        <f t="shared" si="39"/>
        <v>0</v>
      </c>
      <c r="H37" s="184">
        <f t="shared" si="39"/>
        <v>0</v>
      </c>
      <c r="I37" s="184">
        <f t="shared" si="39"/>
        <v>7.7200000000000006</v>
      </c>
      <c r="J37" s="320">
        <f t="shared" si="39"/>
        <v>1219</v>
      </c>
      <c r="K37" s="184">
        <f t="shared" si="39"/>
        <v>0</v>
      </c>
      <c r="L37" s="184">
        <f t="shared" si="39"/>
        <v>0</v>
      </c>
      <c r="M37" s="184">
        <f t="shared" si="39"/>
        <v>0</v>
      </c>
      <c r="N37" s="184">
        <f t="shared" si="39"/>
        <v>0</v>
      </c>
      <c r="O37" s="184">
        <f t="shared" si="39"/>
        <v>0</v>
      </c>
      <c r="P37" s="184">
        <f t="shared" si="39"/>
        <v>0</v>
      </c>
      <c r="Q37" s="184">
        <f t="shared" si="39"/>
        <v>0</v>
      </c>
      <c r="R37" s="184">
        <f t="shared" si="39"/>
        <v>0</v>
      </c>
      <c r="S37" s="184">
        <f t="shared" si="39"/>
        <v>0</v>
      </c>
      <c r="T37" s="184">
        <f t="shared" si="39"/>
        <v>0</v>
      </c>
      <c r="U37" s="184">
        <f t="shared" si="39"/>
        <v>0</v>
      </c>
      <c r="V37" s="184">
        <f t="shared" si="39"/>
        <v>0</v>
      </c>
      <c r="W37" s="184">
        <f t="shared" si="39"/>
        <v>0</v>
      </c>
      <c r="X37" s="184">
        <f t="shared" si="39"/>
        <v>0</v>
      </c>
      <c r="Y37" s="184">
        <f t="shared" si="39"/>
        <v>0</v>
      </c>
      <c r="Z37" s="184">
        <f t="shared" si="39"/>
        <v>0</v>
      </c>
      <c r="AA37" s="184">
        <f t="shared" si="39"/>
        <v>0</v>
      </c>
      <c r="AB37" s="184">
        <f t="shared" si="39"/>
        <v>0</v>
      </c>
      <c r="AC37" s="184">
        <f t="shared" si="39"/>
        <v>0</v>
      </c>
      <c r="AD37" s="184">
        <f t="shared" si="39"/>
        <v>0</v>
      </c>
      <c r="AE37" s="184">
        <f t="shared" si="39"/>
        <v>0</v>
      </c>
      <c r="AF37" s="184">
        <f t="shared" si="39"/>
        <v>0</v>
      </c>
      <c r="AG37" s="184">
        <f t="shared" si="39"/>
        <v>0</v>
      </c>
      <c r="AH37" s="184">
        <f t="shared" si="39"/>
        <v>0</v>
      </c>
      <c r="AI37" s="184">
        <f t="shared" si="39"/>
        <v>0</v>
      </c>
      <c r="AJ37" s="184">
        <f t="shared" si="39"/>
        <v>0</v>
      </c>
      <c r="AK37" s="184">
        <f t="shared" si="39"/>
        <v>0</v>
      </c>
      <c r="AL37" s="184">
        <f t="shared" si="39"/>
        <v>0</v>
      </c>
      <c r="AM37" s="184">
        <f t="shared" si="39"/>
        <v>0</v>
      </c>
      <c r="AN37" s="184">
        <f t="shared" si="39"/>
        <v>0</v>
      </c>
      <c r="AO37" s="184">
        <f t="shared" si="39"/>
        <v>6.4</v>
      </c>
      <c r="AP37" s="320">
        <f t="shared" si="39"/>
        <v>347</v>
      </c>
      <c r="AQ37" s="184">
        <f t="shared" si="39"/>
        <v>0</v>
      </c>
      <c r="AR37" s="184">
        <f t="shared" si="39"/>
        <v>0</v>
      </c>
      <c r="AS37" s="184">
        <f t="shared" si="39"/>
        <v>0</v>
      </c>
      <c r="AT37" s="184">
        <f t="shared" si="39"/>
        <v>0</v>
      </c>
      <c r="AU37" s="184">
        <f t="shared" si="39"/>
        <v>0</v>
      </c>
      <c r="AV37" s="184">
        <f t="shared" si="39"/>
        <v>0</v>
      </c>
      <c r="AW37" s="184">
        <f t="shared" si="39"/>
        <v>0</v>
      </c>
      <c r="AX37" s="184">
        <f t="shared" si="39"/>
        <v>0</v>
      </c>
      <c r="AY37" s="184">
        <f t="shared" si="39"/>
        <v>0</v>
      </c>
      <c r="AZ37" s="184">
        <f t="shared" si="39"/>
        <v>0</v>
      </c>
      <c r="BA37" s="184">
        <f t="shared" si="39"/>
        <v>0</v>
      </c>
      <c r="BB37" s="184">
        <f t="shared" si="39"/>
        <v>7.9</v>
      </c>
      <c r="BC37" s="184">
        <f t="shared" si="39"/>
        <v>0</v>
      </c>
      <c r="BD37" s="184">
        <f t="shared" si="39"/>
        <v>0</v>
      </c>
      <c r="BE37" s="184">
        <f t="shared" si="39"/>
        <v>0.5</v>
      </c>
      <c r="BF37" s="320">
        <f t="shared" si="39"/>
        <v>287</v>
      </c>
      <c r="BG37" s="184">
        <f t="shared" si="39"/>
        <v>0</v>
      </c>
      <c r="BH37" s="184">
        <f t="shared" si="39"/>
        <v>0</v>
      </c>
      <c r="BI37" s="184">
        <f t="shared" si="39"/>
        <v>0</v>
      </c>
      <c r="BJ37" s="184">
        <f t="shared" si="39"/>
        <v>0</v>
      </c>
      <c r="BK37" s="184">
        <f t="shared" si="39"/>
        <v>0</v>
      </c>
      <c r="BL37" s="184">
        <f t="shared" si="39"/>
        <v>0</v>
      </c>
      <c r="BM37" s="184">
        <f t="shared" si="39"/>
        <v>0</v>
      </c>
      <c r="BN37" s="184">
        <f t="shared" si="39"/>
        <v>0</v>
      </c>
      <c r="BO37" s="184">
        <f t="shared" si="39"/>
        <v>0</v>
      </c>
      <c r="BP37" s="184">
        <f t="shared" ref="BP37" si="40">BP38+BP44+BP51</f>
        <v>0</v>
      </c>
      <c r="BQ37" s="184">
        <f t="shared" ref="BQ37" si="41">BQ38+BQ44+BQ51</f>
        <v>0</v>
      </c>
      <c r="BR37" s="184">
        <f t="shared" ref="BR37" si="42">BR38+BR44+BR51</f>
        <v>3.1319999999999997</v>
      </c>
      <c r="BS37" s="184">
        <f t="shared" ref="BS37" si="43">BS38+BS44+BS51</f>
        <v>0</v>
      </c>
      <c r="BT37" s="184">
        <f t="shared" ref="BT37" si="44">BT38+BT44+BT51</f>
        <v>0</v>
      </c>
      <c r="BU37" s="184">
        <f t="shared" ref="BU37" si="45">BU38+BU44+BU51</f>
        <v>0</v>
      </c>
      <c r="BV37" s="184">
        <f t="shared" ref="BV37" si="46">BV38+BV44+BV51</f>
        <v>171</v>
      </c>
      <c r="BW37" s="184">
        <f t="shared" ref="BW37" si="47">BW38+BW44+BW51</f>
        <v>0</v>
      </c>
      <c r="BX37" s="184">
        <f t="shared" ref="BX37" si="48">BX38+BX44+BX51</f>
        <v>0</v>
      </c>
      <c r="BY37" s="184">
        <f t="shared" ref="BY37" si="49">BY38+BY44+BY51</f>
        <v>0</v>
      </c>
      <c r="BZ37" s="184">
        <f t="shared" ref="BZ37" si="50">BZ38+BZ44+BZ51</f>
        <v>0</v>
      </c>
      <c r="CA37" s="184">
        <f t="shared" ref="CA37" si="51">CA38+CA44+CA51</f>
        <v>0</v>
      </c>
      <c r="CB37" s="184">
        <f t="shared" ref="CB37" si="52">CB38+CB44+CB51</f>
        <v>0</v>
      </c>
      <c r="CC37" s="184">
        <f t="shared" ref="CC37" si="53">CC38+CC44+CC51</f>
        <v>0</v>
      </c>
      <c r="CD37" s="184">
        <f t="shared" ref="CD37" si="54">CD38+CD44+CD51</f>
        <v>0</v>
      </c>
      <c r="CE37" s="184">
        <f t="shared" ref="CE37" si="55">CE38+CE44+CE51</f>
        <v>0</v>
      </c>
      <c r="CF37" s="184">
        <f t="shared" ref="CF37" si="56">CF38+CF44+CF51</f>
        <v>0</v>
      </c>
      <c r="CG37" s="184">
        <f t="shared" ref="CG37" si="57">CG38+CG44+CG51</f>
        <v>0</v>
      </c>
      <c r="CH37" s="184">
        <f t="shared" ref="CH37" si="58">CH38+CH44+CH51</f>
        <v>4.1319999999999997</v>
      </c>
      <c r="CI37" s="184">
        <f t="shared" ref="CI37" si="59">CI38+CI44+CI51</f>
        <v>0</v>
      </c>
      <c r="CJ37" s="184">
        <f t="shared" ref="CJ37" si="60">CJ38+CJ44+CJ51</f>
        <v>0</v>
      </c>
      <c r="CK37" s="184">
        <f t="shared" ref="CK37" si="61">CK38+CK44+CK51</f>
        <v>0.82000000000000006</v>
      </c>
      <c r="CL37" s="320">
        <f t="shared" ref="CL37" si="62">CL38+CL44+CL51</f>
        <v>201</v>
      </c>
      <c r="CM37" s="320">
        <f t="shared" ref="CM37" si="63">CM38+CM44+CM51</f>
        <v>0</v>
      </c>
      <c r="CN37" s="184">
        <f t="shared" ref="CN37" si="64">CN38+CN44+CN51</f>
        <v>0</v>
      </c>
      <c r="CO37" s="184">
        <f t="shared" ref="CO37" si="65">CO38+CO44+CO51</f>
        <v>0</v>
      </c>
      <c r="CP37" s="184">
        <f t="shared" ref="CP37" si="66">CP38+CP44+CP51</f>
        <v>0</v>
      </c>
      <c r="CQ37" s="184">
        <f t="shared" ref="CQ37" si="67">CQ38+CQ44+CQ51</f>
        <v>0</v>
      </c>
      <c r="CR37" s="184">
        <f t="shared" ref="CR37" si="68">CR38+CR44+CR51</f>
        <v>0</v>
      </c>
      <c r="CS37" s="184">
        <f t="shared" ref="CS37" si="69">CS38+CS44+CS51</f>
        <v>0</v>
      </c>
      <c r="CT37" s="184">
        <f t="shared" ref="CT37" si="70">CT38+CT44+CT51</f>
        <v>0</v>
      </c>
      <c r="CU37" s="184">
        <f t="shared" ref="CU37" si="71">CU38+CU44+CU51</f>
        <v>0</v>
      </c>
      <c r="CV37" s="184">
        <f t="shared" si="39"/>
        <v>0</v>
      </c>
      <c r="CW37" s="184">
        <f t="shared" ref="CW37:EA37" si="72">CW38+CW44+CW51</f>
        <v>0</v>
      </c>
      <c r="CX37" s="184">
        <f t="shared" si="72"/>
        <v>0</v>
      </c>
      <c r="CY37" s="184">
        <f t="shared" si="72"/>
        <v>0</v>
      </c>
      <c r="CZ37" s="184">
        <f t="shared" si="72"/>
        <v>0</v>
      </c>
      <c r="DA37" s="184">
        <f t="shared" si="72"/>
        <v>0</v>
      </c>
      <c r="DB37" s="320">
        <f t="shared" si="72"/>
        <v>213</v>
      </c>
      <c r="DC37" s="184">
        <f t="shared" si="72"/>
        <v>0</v>
      </c>
      <c r="DD37" s="184">
        <f t="shared" si="72"/>
        <v>0</v>
      </c>
      <c r="DE37" s="184">
        <f t="shared" si="72"/>
        <v>0</v>
      </c>
      <c r="DF37" s="184">
        <f t="shared" si="72"/>
        <v>0</v>
      </c>
      <c r="DG37" s="184">
        <f t="shared" si="72"/>
        <v>0</v>
      </c>
      <c r="DH37" s="184">
        <f t="shared" si="72"/>
        <v>0</v>
      </c>
      <c r="DI37" s="184">
        <f t="shared" si="72"/>
        <v>0</v>
      </c>
      <c r="DJ37" s="184">
        <f t="shared" si="72"/>
        <v>0</v>
      </c>
      <c r="DK37" s="184">
        <f t="shared" si="72"/>
        <v>0</v>
      </c>
      <c r="DL37" s="184">
        <f t="shared" si="72"/>
        <v>0</v>
      </c>
      <c r="DM37" s="184">
        <f t="shared" si="72"/>
        <v>0</v>
      </c>
      <c r="DN37" s="184">
        <f t="shared" si="72"/>
        <v>15.163999999999998</v>
      </c>
      <c r="DO37" s="184">
        <f t="shared" si="72"/>
        <v>0</v>
      </c>
      <c r="DP37" s="184">
        <f t="shared" si="72"/>
        <v>0</v>
      </c>
      <c r="DQ37" s="184">
        <f t="shared" si="72"/>
        <v>7.7200000000000006</v>
      </c>
      <c r="DR37" s="320">
        <f t="shared" si="72"/>
        <v>1219</v>
      </c>
      <c r="DS37" s="320">
        <f t="shared" si="72"/>
        <v>0</v>
      </c>
      <c r="DT37" s="184">
        <f t="shared" si="72"/>
        <v>0</v>
      </c>
      <c r="DU37" s="184">
        <f t="shared" si="72"/>
        <v>0</v>
      </c>
      <c r="DV37" s="184">
        <f t="shared" si="72"/>
        <v>0</v>
      </c>
      <c r="DW37" s="184">
        <f t="shared" si="72"/>
        <v>0</v>
      </c>
      <c r="DX37" s="184">
        <f t="shared" si="72"/>
        <v>0</v>
      </c>
      <c r="DY37" s="184">
        <f t="shared" si="72"/>
        <v>0</v>
      </c>
      <c r="DZ37" s="184">
        <f t="shared" si="72"/>
        <v>0</v>
      </c>
      <c r="EA37" s="184">
        <f t="shared" si="72"/>
        <v>0</v>
      </c>
      <c r="EB37" s="211"/>
    </row>
    <row r="38" spans="1:132" s="196" customFormat="1" ht="47.25" x14ac:dyDescent="0.25">
      <c r="A38" s="194" t="s">
        <v>79</v>
      </c>
      <c r="B38" s="65" t="s">
        <v>80</v>
      </c>
      <c r="C38" s="195">
        <v>0</v>
      </c>
      <c r="D38" s="195">
        <f>D39</f>
        <v>0</v>
      </c>
      <c r="E38" s="195">
        <f t="shared" ref="E38:CV38" si="73">E39</f>
        <v>0</v>
      </c>
      <c r="F38" s="195">
        <f t="shared" si="73"/>
        <v>0</v>
      </c>
      <c r="G38" s="195">
        <f t="shared" si="73"/>
        <v>0</v>
      </c>
      <c r="H38" s="195">
        <f t="shared" si="73"/>
        <v>0</v>
      </c>
      <c r="I38" s="195">
        <f t="shared" si="73"/>
        <v>6.9</v>
      </c>
      <c r="J38" s="195">
        <f t="shared" si="73"/>
        <v>0</v>
      </c>
      <c r="K38" s="195">
        <f t="shared" si="73"/>
        <v>0</v>
      </c>
      <c r="L38" s="195">
        <f t="shared" si="73"/>
        <v>0</v>
      </c>
      <c r="M38" s="195">
        <f t="shared" si="73"/>
        <v>0</v>
      </c>
      <c r="N38" s="195">
        <f t="shared" si="73"/>
        <v>0</v>
      </c>
      <c r="O38" s="195">
        <f t="shared" si="73"/>
        <v>0</v>
      </c>
      <c r="P38" s="195">
        <f t="shared" si="73"/>
        <v>0</v>
      </c>
      <c r="Q38" s="195">
        <f t="shared" si="73"/>
        <v>0</v>
      </c>
      <c r="R38" s="195">
        <f t="shared" si="73"/>
        <v>0</v>
      </c>
      <c r="S38" s="195">
        <f t="shared" si="73"/>
        <v>0</v>
      </c>
      <c r="T38" s="195">
        <f t="shared" si="73"/>
        <v>0</v>
      </c>
      <c r="U38" s="195">
        <f t="shared" si="73"/>
        <v>0</v>
      </c>
      <c r="V38" s="195">
        <f t="shared" si="73"/>
        <v>0</v>
      </c>
      <c r="W38" s="195">
        <f t="shared" si="73"/>
        <v>0</v>
      </c>
      <c r="X38" s="195">
        <f t="shared" si="73"/>
        <v>0</v>
      </c>
      <c r="Y38" s="195">
        <f t="shared" si="73"/>
        <v>0</v>
      </c>
      <c r="Z38" s="195">
        <f t="shared" si="73"/>
        <v>0</v>
      </c>
      <c r="AA38" s="195">
        <f t="shared" si="73"/>
        <v>0</v>
      </c>
      <c r="AB38" s="195">
        <f t="shared" si="73"/>
        <v>0</v>
      </c>
      <c r="AC38" s="195">
        <f t="shared" si="73"/>
        <v>0</v>
      </c>
      <c r="AD38" s="195">
        <f t="shared" si="73"/>
        <v>0</v>
      </c>
      <c r="AE38" s="195">
        <f t="shared" si="73"/>
        <v>0</v>
      </c>
      <c r="AF38" s="195">
        <f t="shared" si="73"/>
        <v>0</v>
      </c>
      <c r="AG38" s="195">
        <f t="shared" si="73"/>
        <v>0</v>
      </c>
      <c r="AH38" s="195">
        <f t="shared" si="73"/>
        <v>0</v>
      </c>
      <c r="AI38" s="195">
        <f t="shared" si="73"/>
        <v>0</v>
      </c>
      <c r="AJ38" s="195">
        <f t="shared" si="73"/>
        <v>0</v>
      </c>
      <c r="AK38" s="195">
        <f t="shared" si="73"/>
        <v>0</v>
      </c>
      <c r="AL38" s="195">
        <f t="shared" si="73"/>
        <v>0</v>
      </c>
      <c r="AM38" s="195">
        <f t="shared" si="73"/>
        <v>0</v>
      </c>
      <c r="AN38" s="195">
        <f t="shared" si="73"/>
        <v>0</v>
      </c>
      <c r="AO38" s="195">
        <f t="shared" si="73"/>
        <v>6.4</v>
      </c>
      <c r="AP38" s="195">
        <f t="shared" si="73"/>
        <v>0</v>
      </c>
      <c r="AQ38" s="195">
        <f t="shared" si="73"/>
        <v>0</v>
      </c>
      <c r="AR38" s="195">
        <f t="shared" si="73"/>
        <v>0</v>
      </c>
      <c r="AS38" s="195">
        <f t="shared" si="73"/>
        <v>0</v>
      </c>
      <c r="AT38" s="195">
        <f t="shared" si="73"/>
        <v>0</v>
      </c>
      <c r="AU38" s="195">
        <f t="shared" si="73"/>
        <v>0</v>
      </c>
      <c r="AV38" s="195">
        <f t="shared" si="73"/>
        <v>0</v>
      </c>
      <c r="AW38" s="195">
        <f t="shared" si="73"/>
        <v>0</v>
      </c>
      <c r="AX38" s="195">
        <f t="shared" si="73"/>
        <v>0</v>
      </c>
      <c r="AY38" s="195">
        <f t="shared" si="73"/>
        <v>0</v>
      </c>
      <c r="AZ38" s="195">
        <f t="shared" si="73"/>
        <v>0</v>
      </c>
      <c r="BA38" s="195">
        <f t="shared" si="73"/>
        <v>0</v>
      </c>
      <c r="BB38" s="195">
        <f t="shared" si="73"/>
        <v>0</v>
      </c>
      <c r="BC38" s="195">
        <f t="shared" si="73"/>
        <v>0</v>
      </c>
      <c r="BD38" s="195">
        <f t="shared" si="73"/>
        <v>0</v>
      </c>
      <c r="BE38" s="195">
        <f t="shared" si="73"/>
        <v>0</v>
      </c>
      <c r="BF38" s="195">
        <f t="shared" si="73"/>
        <v>0</v>
      </c>
      <c r="BG38" s="195">
        <f t="shared" si="73"/>
        <v>0</v>
      </c>
      <c r="BH38" s="195">
        <f t="shared" si="73"/>
        <v>0</v>
      </c>
      <c r="BI38" s="195">
        <f t="shared" si="73"/>
        <v>0</v>
      </c>
      <c r="BJ38" s="195">
        <f t="shared" si="73"/>
        <v>0</v>
      </c>
      <c r="BK38" s="195">
        <f t="shared" si="73"/>
        <v>0</v>
      </c>
      <c r="BL38" s="195">
        <f t="shared" si="73"/>
        <v>0</v>
      </c>
      <c r="BM38" s="195">
        <f t="shared" si="73"/>
        <v>0</v>
      </c>
      <c r="BN38" s="195">
        <f t="shared" si="73"/>
        <v>0</v>
      </c>
      <c r="BO38" s="195">
        <f t="shared" si="73"/>
        <v>0</v>
      </c>
      <c r="BP38" s="195">
        <f t="shared" ref="BP38" si="74">BP39</f>
        <v>0</v>
      </c>
      <c r="BQ38" s="195">
        <f t="shared" ref="BQ38" si="75">BQ39</f>
        <v>0</v>
      </c>
      <c r="BR38" s="195">
        <f t="shared" ref="BR38" si="76">BR39</f>
        <v>0</v>
      </c>
      <c r="BS38" s="195">
        <f t="shared" ref="BS38" si="77">BS39</f>
        <v>0</v>
      </c>
      <c r="BT38" s="195">
        <f t="shared" ref="BT38" si="78">BT39</f>
        <v>0</v>
      </c>
      <c r="BU38" s="195">
        <f t="shared" ref="BU38" si="79">BU39</f>
        <v>0</v>
      </c>
      <c r="BV38" s="195">
        <f t="shared" ref="BV38" si="80">BV39</f>
        <v>0</v>
      </c>
      <c r="BW38" s="195">
        <f t="shared" ref="BW38" si="81">BW39</f>
        <v>0</v>
      </c>
      <c r="BX38" s="195">
        <f t="shared" ref="BX38" si="82">BX39</f>
        <v>0</v>
      </c>
      <c r="BY38" s="195">
        <f t="shared" ref="BY38" si="83">BY39</f>
        <v>0</v>
      </c>
      <c r="BZ38" s="195">
        <f t="shared" ref="BZ38" si="84">BZ39</f>
        <v>0</v>
      </c>
      <c r="CA38" s="195">
        <f t="shared" ref="CA38" si="85">CA39</f>
        <v>0</v>
      </c>
      <c r="CB38" s="195">
        <f t="shared" ref="CB38" si="86">CB39</f>
        <v>0</v>
      </c>
      <c r="CC38" s="195">
        <f t="shared" ref="CC38" si="87">CC39</f>
        <v>0</v>
      </c>
      <c r="CD38" s="195">
        <f t="shared" ref="CD38" si="88">CD39</f>
        <v>0</v>
      </c>
      <c r="CE38" s="195">
        <f t="shared" ref="CE38" si="89">CE39</f>
        <v>0</v>
      </c>
      <c r="CF38" s="195">
        <f t="shared" ref="CF38" si="90">CF39</f>
        <v>0</v>
      </c>
      <c r="CG38" s="195">
        <f t="shared" ref="CG38" si="91">CG39</f>
        <v>0</v>
      </c>
      <c r="CH38" s="195">
        <f t="shared" ref="CH38" si="92">CH39</f>
        <v>0</v>
      </c>
      <c r="CI38" s="195">
        <f t="shared" ref="CI38" si="93">CI39</f>
        <v>0</v>
      </c>
      <c r="CJ38" s="195">
        <f t="shared" ref="CJ38" si="94">CJ39</f>
        <v>0</v>
      </c>
      <c r="CK38" s="195">
        <f t="shared" ref="CK38" si="95">CK39</f>
        <v>0.5</v>
      </c>
      <c r="CL38" s="195">
        <f t="shared" ref="CL38" si="96">CL39</f>
        <v>0</v>
      </c>
      <c r="CM38" s="195">
        <f t="shared" ref="CM38" si="97">CM39</f>
        <v>0</v>
      </c>
      <c r="CN38" s="195">
        <f t="shared" ref="CN38" si="98">CN39</f>
        <v>0</v>
      </c>
      <c r="CO38" s="195">
        <f t="shared" ref="CO38" si="99">CO39</f>
        <v>0</v>
      </c>
      <c r="CP38" s="195">
        <f t="shared" ref="CP38" si="100">CP39</f>
        <v>0</v>
      </c>
      <c r="CQ38" s="195">
        <f t="shared" ref="CQ38" si="101">CQ39</f>
        <v>0</v>
      </c>
      <c r="CR38" s="195">
        <f t="shared" ref="CR38" si="102">CR39</f>
        <v>0</v>
      </c>
      <c r="CS38" s="195">
        <f t="shared" ref="CS38" si="103">CS39</f>
        <v>0</v>
      </c>
      <c r="CT38" s="195">
        <f t="shared" ref="CT38" si="104">CT39</f>
        <v>0</v>
      </c>
      <c r="CU38" s="195">
        <f t="shared" ref="CU38" si="105">CU39</f>
        <v>0</v>
      </c>
      <c r="CV38" s="195">
        <f t="shared" si="73"/>
        <v>0</v>
      </c>
      <c r="CW38" s="195">
        <f t="shared" ref="CW38:EB38" si="106">CW39</f>
        <v>0</v>
      </c>
      <c r="CX38" s="195">
        <f t="shared" si="106"/>
        <v>0</v>
      </c>
      <c r="CY38" s="195">
        <f t="shared" si="106"/>
        <v>0</v>
      </c>
      <c r="CZ38" s="195">
        <f t="shared" si="106"/>
        <v>0</v>
      </c>
      <c r="DA38" s="195">
        <f t="shared" si="106"/>
        <v>0</v>
      </c>
      <c r="DB38" s="195">
        <f t="shared" si="106"/>
        <v>0</v>
      </c>
      <c r="DC38" s="195">
        <f t="shared" si="106"/>
        <v>0</v>
      </c>
      <c r="DD38" s="195">
        <f t="shared" si="106"/>
        <v>0</v>
      </c>
      <c r="DE38" s="195">
        <f t="shared" si="106"/>
        <v>0</v>
      </c>
      <c r="DF38" s="195">
        <f t="shared" si="106"/>
        <v>0</v>
      </c>
      <c r="DG38" s="195">
        <f t="shared" si="106"/>
        <v>0</v>
      </c>
      <c r="DH38" s="195">
        <f t="shared" si="106"/>
        <v>0</v>
      </c>
      <c r="DI38" s="195">
        <f t="shared" si="106"/>
        <v>0</v>
      </c>
      <c r="DJ38" s="195">
        <f t="shared" si="106"/>
        <v>0</v>
      </c>
      <c r="DK38" s="195">
        <f t="shared" si="106"/>
        <v>0</v>
      </c>
      <c r="DL38" s="195">
        <f t="shared" si="106"/>
        <v>0</v>
      </c>
      <c r="DM38" s="195">
        <f t="shared" si="106"/>
        <v>0</v>
      </c>
      <c r="DN38" s="195">
        <f t="shared" si="106"/>
        <v>0</v>
      </c>
      <c r="DO38" s="195">
        <f t="shared" si="106"/>
        <v>0</v>
      </c>
      <c r="DP38" s="195">
        <f t="shared" si="106"/>
        <v>0</v>
      </c>
      <c r="DQ38" s="195">
        <f t="shared" si="106"/>
        <v>6.9</v>
      </c>
      <c r="DR38" s="195">
        <f t="shared" si="106"/>
        <v>0</v>
      </c>
      <c r="DS38" s="195">
        <f t="shared" si="106"/>
        <v>0</v>
      </c>
      <c r="DT38" s="195">
        <f t="shared" si="106"/>
        <v>0</v>
      </c>
      <c r="DU38" s="195">
        <f t="shared" si="106"/>
        <v>0</v>
      </c>
      <c r="DV38" s="195">
        <f t="shared" si="106"/>
        <v>0</v>
      </c>
      <c r="DW38" s="195">
        <f t="shared" si="106"/>
        <v>0</v>
      </c>
      <c r="DX38" s="195">
        <f t="shared" si="106"/>
        <v>0</v>
      </c>
      <c r="DY38" s="195">
        <f t="shared" si="106"/>
        <v>0</v>
      </c>
      <c r="DZ38" s="195">
        <f t="shared" si="106"/>
        <v>0</v>
      </c>
      <c r="EA38" s="195">
        <f t="shared" si="106"/>
        <v>0</v>
      </c>
      <c r="EB38" s="195">
        <f t="shared" si="106"/>
        <v>0</v>
      </c>
    </row>
    <row r="39" spans="1:132" s="200" customFormat="1" ht="31.5" x14ac:dyDescent="0.25">
      <c r="A39" s="197" t="s">
        <v>44</v>
      </c>
      <c r="B39" s="11" t="s">
        <v>45</v>
      </c>
      <c r="C39" s="198">
        <v>0</v>
      </c>
      <c r="D39" s="198">
        <f>SUM(D40:D42)</f>
        <v>0</v>
      </c>
      <c r="E39" s="198">
        <f t="shared" ref="E39:CV39" si="107">SUM(E40:E42)</f>
        <v>0</v>
      </c>
      <c r="F39" s="198">
        <f t="shared" si="107"/>
        <v>0</v>
      </c>
      <c r="G39" s="198">
        <f t="shared" si="107"/>
        <v>0</v>
      </c>
      <c r="H39" s="198">
        <f t="shared" si="107"/>
        <v>0</v>
      </c>
      <c r="I39" s="198">
        <f t="shared" si="107"/>
        <v>6.9</v>
      </c>
      <c r="J39" s="198">
        <f t="shared" si="107"/>
        <v>0</v>
      </c>
      <c r="K39" s="198">
        <f t="shared" si="107"/>
        <v>0</v>
      </c>
      <c r="L39" s="198">
        <f t="shared" si="107"/>
        <v>0</v>
      </c>
      <c r="M39" s="198">
        <f t="shared" si="107"/>
        <v>0</v>
      </c>
      <c r="N39" s="198">
        <f t="shared" si="107"/>
        <v>0</v>
      </c>
      <c r="O39" s="198">
        <f t="shared" si="107"/>
        <v>0</v>
      </c>
      <c r="P39" s="198">
        <f t="shared" si="107"/>
        <v>0</v>
      </c>
      <c r="Q39" s="198">
        <f t="shared" si="107"/>
        <v>0</v>
      </c>
      <c r="R39" s="198">
        <f t="shared" si="107"/>
        <v>0</v>
      </c>
      <c r="S39" s="198">
        <f t="shared" si="107"/>
        <v>0</v>
      </c>
      <c r="T39" s="198">
        <f t="shared" si="107"/>
        <v>0</v>
      </c>
      <c r="U39" s="198">
        <f t="shared" si="107"/>
        <v>0</v>
      </c>
      <c r="V39" s="198">
        <f t="shared" si="107"/>
        <v>0</v>
      </c>
      <c r="W39" s="198">
        <f t="shared" si="107"/>
        <v>0</v>
      </c>
      <c r="X39" s="198">
        <f t="shared" si="107"/>
        <v>0</v>
      </c>
      <c r="Y39" s="198">
        <f t="shared" si="107"/>
        <v>0</v>
      </c>
      <c r="Z39" s="198">
        <f t="shared" si="107"/>
        <v>0</v>
      </c>
      <c r="AA39" s="198">
        <f t="shared" si="107"/>
        <v>0</v>
      </c>
      <c r="AB39" s="198">
        <f t="shared" si="107"/>
        <v>0</v>
      </c>
      <c r="AC39" s="198">
        <f t="shared" si="107"/>
        <v>0</v>
      </c>
      <c r="AD39" s="198">
        <f t="shared" si="107"/>
        <v>0</v>
      </c>
      <c r="AE39" s="198">
        <f t="shared" si="107"/>
        <v>0</v>
      </c>
      <c r="AF39" s="198">
        <f t="shared" si="107"/>
        <v>0</v>
      </c>
      <c r="AG39" s="198">
        <f t="shared" si="107"/>
        <v>0</v>
      </c>
      <c r="AH39" s="198">
        <f t="shared" si="107"/>
        <v>0</v>
      </c>
      <c r="AI39" s="198">
        <f t="shared" si="107"/>
        <v>0</v>
      </c>
      <c r="AJ39" s="198">
        <f t="shared" si="107"/>
        <v>0</v>
      </c>
      <c r="AK39" s="198">
        <f t="shared" si="107"/>
        <v>0</v>
      </c>
      <c r="AL39" s="198">
        <f t="shared" si="107"/>
        <v>0</v>
      </c>
      <c r="AM39" s="198">
        <f t="shared" si="107"/>
        <v>0</v>
      </c>
      <c r="AN39" s="198">
        <f t="shared" si="107"/>
        <v>0</v>
      </c>
      <c r="AO39" s="198">
        <f t="shared" si="107"/>
        <v>6.4</v>
      </c>
      <c r="AP39" s="198">
        <f t="shared" si="107"/>
        <v>0</v>
      </c>
      <c r="AQ39" s="198">
        <f t="shared" si="107"/>
        <v>0</v>
      </c>
      <c r="AR39" s="198">
        <f t="shared" si="107"/>
        <v>0</v>
      </c>
      <c r="AS39" s="198">
        <f t="shared" si="107"/>
        <v>0</v>
      </c>
      <c r="AT39" s="198">
        <f t="shared" si="107"/>
        <v>0</v>
      </c>
      <c r="AU39" s="198">
        <f t="shared" si="107"/>
        <v>0</v>
      </c>
      <c r="AV39" s="198">
        <f t="shared" si="107"/>
        <v>0</v>
      </c>
      <c r="AW39" s="198">
        <f t="shared" si="107"/>
        <v>0</v>
      </c>
      <c r="AX39" s="198">
        <f t="shared" si="107"/>
        <v>0</v>
      </c>
      <c r="AY39" s="198">
        <f t="shared" si="107"/>
        <v>0</v>
      </c>
      <c r="AZ39" s="198">
        <f t="shared" si="107"/>
        <v>0</v>
      </c>
      <c r="BA39" s="198">
        <f t="shared" si="107"/>
        <v>0</v>
      </c>
      <c r="BB39" s="198">
        <f t="shared" si="107"/>
        <v>0</v>
      </c>
      <c r="BC39" s="198">
        <f t="shared" si="107"/>
        <v>0</v>
      </c>
      <c r="BD39" s="198">
        <f t="shared" si="107"/>
        <v>0</v>
      </c>
      <c r="BE39" s="198">
        <f t="shared" si="107"/>
        <v>0</v>
      </c>
      <c r="BF39" s="198">
        <f t="shared" si="107"/>
        <v>0</v>
      </c>
      <c r="BG39" s="198">
        <f t="shared" si="107"/>
        <v>0</v>
      </c>
      <c r="BH39" s="198">
        <f t="shared" si="107"/>
        <v>0</v>
      </c>
      <c r="BI39" s="198">
        <f t="shared" si="107"/>
        <v>0</v>
      </c>
      <c r="BJ39" s="198">
        <f t="shared" si="107"/>
        <v>0</v>
      </c>
      <c r="BK39" s="198">
        <f t="shared" si="107"/>
        <v>0</v>
      </c>
      <c r="BL39" s="198">
        <f t="shared" si="107"/>
        <v>0</v>
      </c>
      <c r="BM39" s="198">
        <f t="shared" si="107"/>
        <v>0</v>
      </c>
      <c r="BN39" s="198">
        <f t="shared" si="107"/>
        <v>0</v>
      </c>
      <c r="BO39" s="198">
        <f t="shared" si="107"/>
        <v>0</v>
      </c>
      <c r="BP39" s="198">
        <f t="shared" ref="BP39" si="108">SUM(BP40:BP42)</f>
        <v>0</v>
      </c>
      <c r="BQ39" s="198">
        <f t="shared" ref="BQ39" si="109">SUM(BQ40:BQ42)</f>
        <v>0</v>
      </c>
      <c r="BR39" s="198">
        <f t="shared" ref="BR39" si="110">SUM(BR40:BR42)</f>
        <v>0</v>
      </c>
      <c r="BS39" s="198">
        <f t="shared" ref="BS39" si="111">SUM(BS40:BS42)</f>
        <v>0</v>
      </c>
      <c r="BT39" s="198">
        <f t="shared" ref="BT39" si="112">SUM(BT40:BT42)</f>
        <v>0</v>
      </c>
      <c r="BU39" s="198">
        <f t="shared" ref="BU39" si="113">SUM(BU40:BU42)</f>
        <v>0</v>
      </c>
      <c r="BV39" s="198">
        <f t="shared" ref="BV39" si="114">SUM(BV40:BV42)</f>
        <v>0</v>
      </c>
      <c r="BW39" s="198">
        <f t="shared" ref="BW39" si="115">SUM(BW40:BW42)</f>
        <v>0</v>
      </c>
      <c r="BX39" s="198">
        <f t="shared" ref="BX39" si="116">SUM(BX40:BX42)</f>
        <v>0</v>
      </c>
      <c r="BY39" s="198">
        <f t="shared" ref="BY39" si="117">SUM(BY40:BY42)</f>
        <v>0</v>
      </c>
      <c r="BZ39" s="198">
        <f t="shared" ref="BZ39" si="118">SUM(BZ40:BZ42)</f>
        <v>0</v>
      </c>
      <c r="CA39" s="198">
        <f t="shared" ref="CA39" si="119">SUM(CA40:CA42)</f>
        <v>0</v>
      </c>
      <c r="CB39" s="198">
        <f t="shared" ref="CB39" si="120">SUM(CB40:CB42)</f>
        <v>0</v>
      </c>
      <c r="CC39" s="198">
        <f t="shared" ref="CC39" si="121">SUM(CC40:CC42)</f>
        <v>0</v>
      </c>
      <c r="CD39" s="198">
        <f t="shared" ref="CD39" si="122">SUM(CD40:CD42)</f>
        <v>0</v>
      </c>
      <c r="CE39" s="198">
        <f t="shared" ref="CE39" si="123">SUM(CE40:CE42)</f>
        <v>0</v>
      </c>
      <c r="CF39" s="198">
        <f t="shared" ref="CF39" si="124">SUM(CF40:CF42)</f>
        <v>0</v>
      </c>
      <c r="CG39" s="198">
        <f t="shared" ref="CG39" si="125">SUM(CG40:CG42)</f>
        <v>0</v>
      </c>
      <c r="CH39" s="198">
        <f t="shared" ref="CH39" si="126">SUM(CH40:CH42)</f>
        <v>0</v>
      </c>
      <c r="CI39" s="198">
        <f t="shared" ref="CI39" si="127">SUM(CI40:CI42)</f>
        <v>0</v>
      </c>
      <c r="CJ39" s="198">
        <f t="shared" ref="CJ39" si="128">SUM(CJ40:CJ42)</f>
        <v>0</v>
      </c>
      <c r="CK39" s="198">
        <f t="shared" ref="CK39" si="129">SUM(CK40:CK42)</f>
        <v>0.5</v>
      </c>
      <c r="CL39" s="198">
        <f t="shared" ref="CL39" si="130">SUM(CL40:CL42)</f>
        <v>0</v>
      </c>
      <c r="CM39" s="198">
        <f t="shared" ref="CM39" si="131">SUM(CM40:CM42)</f>
        <v>0</v>
      </c>
      <c r="CN39" s="198">
        <f t="shared" ref="CN39" si="132">SUM(CN40:CN42)</f>
        <v>0</v>
      </c>
      <c r="CO39" s="198">
        <f t="shared" ref="CO39" si="133">SUM(CO40:CO42)</f>
        <v>0</v>
      </c>
      <c r="CP39" s="198">
        <f t="shared" ref="CP39" si="134">SUM(CP40:CP42)</f>
        <v>0</v>
      </c>
      <c r="CQ39" s="198">
        <f t="shared" ref="CQ39" si="135">SUM(CQ40:CQ42)</f>
        <v>0</v>
      </c>
      <c r="CR39" s="198">
        <f t="shared" ref="CR39" si="136">SUM(CR40:CR42)</f>
        <v>0</v>
      </c>
      <c r="CS39" s="198">
        <f t="shared" ref="CS39" si="137">SUM(CS40:CS42)</f>
        <v>0</v>
      </c>
      <c r="CT39" s="198">
        <f t="shared" ref="CT39" si="138">SUM(CT40:CT42)</f>
        <v>0</v>
      </c>
      <c r="CU39" s="198">
        <f t="shared" ref="CU39" si="139">SUM(CU40:CU42)</f>
        <v>0</v>
      </c>
      <c r="CV39" s="198">
        <f t="shared" si="107"/>
        <v>0</v>
      </c>
      <c r="CW39" s="198">
        <f t="shared" ref="CW39:EB39" si="140">SUM(CW40:CW42)</f>
        <v>0</v>
      </c>
      <c r="CX39" s="198">
        <f t="shared" si="140"/>
        <v>0</v>
      </c>
      <c r="CY39" s="198">
        <f t="shared" si="140"/>
        <v>0</v>
      </c>
      <c r="CZ39" s="198">
        <f t="shared" si="140"/>
        <v>0</v>
      </c>
      <c r="DA39" s="198">
        <f t="shared" si="140"/>
        <v>0</v>
      </c>
      <c r="DB39" s="198">
        <f t="shared" si="140"/>
        <v>0</v>
      </c>
      <c r="DC39" s="198">
        <f t="shared" si="140"/>
        <v>0</v>
      </c>
      <c r="DD39" s="198">
        <f t="shared" si="140"/>
        <v>0</v>
      </c>
      <c r="DE39" s="198">
        <f t="shared" si="140"/>
        <v>0</v>
      </c>
      <c r="DF39" s="198">
        <f t="shared" si="140"/>
        <v>0</v>
      </c>
      <c r="DG39" s="198">
        <f t="shared" si="140"/>
        <v>0</v>
      </c>
      <c r="DH39" s="198">
        <f t="shared" si="140"/>
        <v>0</v>
      </c>
      <c r="DI39" s="198">
        <f t="shared" si="140"/>
        <v>0</v>
      </c>
      <c r="DJ39" s="198">
        <f t="shared" si="140"/>
        <v>0</v>
      </c>
      <c r="DK39" s="198">
        <f t="shared" si="140"/>
        <v>0</v>
      </c>
      <c r="DL39" s="198">
        <f t="shared" si="140"/>
        <v>0</v>
      </c>
      <c r="DM39" s="198">
        <f t="shared" si="140"/>
        <v>0</v>
      </c>
      <c r="DN39" s="198">
        <f t="shared" si="140"/>
        <v>0</v>
      </c>
      <c r="DO39" s="198">
        <f t="shared" si="140"/>
        <v>0</v>
      </c>
      <c r="DP39" s="198">
        <f t="shared" si="140"/>
        <v>0</v>
      </c>
      <c r="DQ39" s="198">
        <f t="shared" si="140"/>
        <v>6.9</v>
      </c>
      <c r="DR39" s="198">
        <f t="shared" si="140"/>
        <v>0</v>
      </c>
      <c r="DS39" s="198">
        <f t="shared" si="140"/>
        <v>0</v>
      </c>
      <c r="DT39" s="198">
        <f t="shared" si="140"/>
        <v>0</v>
      </c>
      <c r="DU39" s="198">
        <f t="shared" si="140"/>
        <v>0</v>
      </c>
      <c r="DV39" s="198">
        <f t="shared" si="140"/>
        <v>0</v>
      </c>
      <c r="DW39" s="198">
        <f t="shared" si="140"/>
        <v>0</v>
      </c>
      <c r="DX39" s="198">
        <f t="shared" si="140"/>
        <v>0</v>
      </c>
      <c r="DY39" s="198">
        <f t="shared" si="140"/>
        <v>0</v>
      </c>
      <c r="DZ39" s="198">
        <f t="shared" si="140"/>
        <v>0</v>
      </c>
      <c r="EA39" s="198">
        <f t="shared" si="140"/>
        <v>0</v>
      </c>
      <c r="EB39" s="198">
        <f t="shared" si="140"/>
        <v>0</v>
      </c>
    </row>
    <row r="40" spans="1:132" s="362" customFormat="1" x14ac:dyDescent="0.25">
      <c r="A40" s="14" t="s">
        <v>46</v>
      </c>
      <c r="B40" s="417" t="s">
        <v>735</v>
      </c>
      <c r="C40" s="390" t="s">
        <v>721</v>
      </c>
      <c r="D40" s="351"/>
      <c r="E40" s="351"/>
      <c r="F40" s="351"/>
      <c r="G40" s="351"/>
      <c r="H40" s="351"/>
      <c r="I40" s="351">
        <v>6.4</v>
      </c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>
        <v>0</v>
      </c>
      <c r="U40" s="351">
        <v>0</v>
      </c>
      <c r="V40" s="351">
        <v>0</v>
      </c>
      <c r="W40" s="351">
        <v>0</v>
      </c>
      <c r="X40" s="351">
        <v>0</v>
      </c>
      <c r="Y40" s="351">
        <v>0</v>
      </c>
      <c r="Z40" s="351"/>
      <c r="AA40" s="351">
        <v>0</v>
      </c>
      <c r="AB40" s="351">
        <v>0</v>
      </c>
      <c r="AC40" s="351">
        <v>0</v>
      </c>
      <c r="AD40" s="351">
        <v>0</v>
      </c>
      <c r="AE40" s="351">
        <v>0</v>
      </c>
      <c r="AF40" s="351">
        <v>0</v>
      </c>
      <c r="AG40" s="351">
        <v>0</v>
      </c>
      <c r="AH40" s="351"/>
      <c r="AI40" s="351">
        <v>0</v>
      </c>
      <c r="AJ40" s="393">
        <f>D40</f>
        <v>0</v>
      </c>
      <c r="AK40" s="393">
        <f t="shared" ref="AK40:AQ40" si="141">E40</f>
        <v>0</v>
      </c>
      <c r="AL40" s="393">
        <f t="shared" si="141"/>
        <v>0</v>
      </c>
      <c r="AM40" s="393">
        <f t="shared" si="141"/>
        <v>0</v>
      </c>
      <c r="AN40" s="393">
        <f t="shared" si="141"/>
        <v>0</v>
      </c>
      <c r="AO40" s="393">
        <f t="shared" si="141"/>
        <v>6.4</v>
      </c>
      <c r="AP40" s="393">
        <f t="shared" si="141"/>
        <v>0</v>
      </c>
      <c r="AQ40" s="393">
        <f t="shared" si="141"/>
        <v>0</v>
      </c>
      <c r="AR40" s="351">
        <v>0</v>
      </c>
      <c r="AS40" s="351">
        <v>0</v>
      </c>
      <c r="AT40" s="351">
        <v>0</v>
      </c>
      <c r="AU40" s="351">
        <v>0</v>
      </c>
      <c r="AV40" s="351">
        <v>0</v>
      </c>
      <c r="AW40" s="351">
        <v>0</v>
      </c>
      <c r="AX40" s="351"/>
      <c r="AY40" s="351">
        <v>0</v>
      </c>
      <c r="AZ40" s="351"/>
      <c r="BA40" s="351">
        <v>0</v>
      </c>
      <c r="BB40" s="351">
        <v>0</v>
      </c>
      <c r="BC40" s="351">
        <v>0</v>
      </c>
      <c r="BD40" s="351">
        <v>0</v>
      </c>
      <c r="BE40" s="351">
        <v>0</v>
      </c>
      <c r="BF40" s="351"/>
      <c r="BG40" s="351">
        <v>0</v>
      </c>
      <c r="BH40" s="351">
        <v>0</v>
      </c>
      <c r="BI40" s="351">
        <v>0</v>
      </c>
      <c r="BJ40" s="351">
        <v>0</v>
      </c>
      <c r="BK40" s="351">
        <v>0</v>
      </c>
      <c r="BL40" s="351">
        <v>0</v>
      </c>
      <c r="BM40" s="351">
        <v>0</v>
      </c>
      <c r="BN40" s="351"/>
      <c r="BO40" s="351">
        <v>0</v>
      </c>
      <c r="BP40" s="351">
        <v>0</v>
      </c>
      <c r="BQ40" s="351">
        <v>0</v>
      </c>
      <c r="BR40" s="351">
        <v>0</v>
      </c>
      <c r="BS40" s="351">
        <v>0</v>
      </c>
      <c r="BT40" s="351">
        <v>0</v>
      </c>
      <c r="BU40" s="351">
        <v>0</v>
      </c>
      <c r="BV40" s="351"/>
      <c r="BW40" s="351">
        <v>0</v>
      </c>
      <c r="BX40" s="351">
        <v>0</v>
      </c>
      <c r="BY40" s="351">
        <v>0</v>
      </c>
      <c r="BZ40" s="351">
        <v>0</v>
      </c>
      <c r="CA40" s="351">
        <v>0</v>
      </c>
      <c r="CB40" s="351">
        <v>0</v>
      </c>
      <c r="CC40" s="351">
        <v>0</v>
      </c>
      <c r="CD40" s="351"/>
      <c r="CE40" s="351">
        <v>0</v>
      </c>
      <c r="CF40" s="351">
        <v>0</v>
      </c>
      <c r="CG40" s="351">
        <v>0</v>
      </c>
      <c r="CH40" s="351">
        <v>0</v>
      </c>
      <c r="CI40" s="351">
        <v>0</v>
      </c>
      <c r="CJ40" s="351">
        <v>0</v>
      </c>
      <c r="CK40" s="351">
        <v>0</v>
      </c>
      <c r="CL40" s="351"/>
      <c r="CM40" s="351">
        <v>0</v>
      </c>
      <c r="CN40" s="351">
        <v>0</v>
      </c>
      <c r="CO40" s="351">
        <v>0</v>
      </c>
      <c r="CP40" s="351">
        <v>0</v>
      </c>
      <c r="CQ40" s="351">
        <v>0</v>
      </c>
      <c r="CR40" s="351">
        <v>0</v>
      </c>
      <c r="CS40" s="351">
        <v>0</v>
      </c>
      <c r="CT40" s="351"/>
      <c r="CU40" s="351">
        <v>0</v>
      </c>
      <c r="CV40" s="351">
        <v>0</v>
      </c>
      <c r="CW40" s="351">
        <v>0</v>
      </c>
      <c r="CX40" s="351">
        <v>0</v>
      </c>
      <c r="CY40" s="351">
        <v>0</v>
      </c>
      <c r="CZ40" s="351">
        <v>0</v>
      </c>
      <c r="DA40" s="351">
        <v>0</v>
      </c>
      <c r="DB40" s="351"/>
      <c r="DC40" s="351">
        <v>0</v>
      </c>
      <c r="DD40" s="351">
        <v>0</v>
      </c>
      <c r="DE40" s="351">
        <v>0</v>
      </c>
      <c r="DF40" s="351">
        <v>0</v>
      </c>
      <c r="DG40" s="351">
        <v>0</v>
      </c>
      <c r="DH40" s="351">
        <v>0</v>
      </c>
      <c r="DI40" s="351">
        <v>0</v>
      </c>
      <c r="DJ40" s="351"/>
      <c r="DK40" s="351">
        <v>0</v>
      </c>
      <c r="DL40" s="351">
        <f>D40</f>
        <v>0</v>
      </c>
      <c r="DM40" s="351">
        <f t="shared" ref="DM40:DS40" si="142">E40</f>
        <v>0</v>
      </c>
      <c r="DN40" s="351">
        <f t="shared" si="142"/>
        <v>0</v>
      </c>
      <c r="DO40" s="351">
        <f t="shared" si="142"/>
        <v>0</v>
      </c>
      <c r="DP40" s="351">
        <f t="shared" si="142"/>
        <v>0</v>
      </c>
      <c r="DQ40" s="351">
        <f t="shared" si="142"/>
        <v>6.4</v>
      </c>
      <c r="DR40" s="351">
        <f t="shared" si="142"/>
        <v>0</v>
      </c>
      <c r="DS40" s="351">
        <f t="shared" si="142"/>
        <v>0</v>
      </c>
      <c r="DT40" s="351">
        <f t="shared" ref="DT40" si="143">AR40+BH40+DD40</f>
        <v>0</v>
      </c>
      <c r="DU40" s="351">
        <f t="shared" ref="DU40" si="144">AS40+BI40+DE40</f>
        <v>0</v>
      </c>
      <c r="DV40" s="351">
        <f t="shared" ref="DV40" si="145">AT40+BJ40+DF40</f>
        <v>0</v>
      </c>
      <c r="DW40" s="351">
        <f t="shared" ref="DW40" si="146">AU40+BK40+DG40</f>
        <v>0</v>
      </c>
      <c r="DX40" s="351">
        <f t="shared" ref="DX40" si="147">AV40+BL40+DH40</f>
        <v>0</v>
      </c>
      <c r="DY40" s="351">
        <f t="shared" ref="DY40" si="148">AW40+BM40+DI40</f>
        <v>0</v>
      </c>
      <c r="DZ40" s="351"/>
      <c r="EA40" s="351">
        <f t="shared" ref="EA40" si="149">AY40+BO40+DK40</f>
        <v>0</v>
      </c>
      <c r="EB40" s="370"/>
    </row>
    <row r="41" spans="1:132" s="362" customFormat="1" x14ac:dyDescent="0.25">
      <c r="A41" s="14" t="s">
        <v>527</v>
      </c>
      <c r="B41" s="419" t="s">
        <v>736</v>
      </c>
      <c r="C41" s="390" t="s">
        <v>722</v>
      </c>
      <c r="D41" s="351"/>
      <c r="E41" s="351"/>
      <c r="F41" s="351"/>
      <c r="G41" s="351"/>
      <c r="H41" s="351"/>
      <c r="I41" s="351">
        <v>0.5</v>
      </c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>
        <v>0</v>
      </c>
      <c r="BA41" s="351"/>
      <c r="BB41" s="351"/>
      <c r="BC41" s="351"/>
      <c r="BD41" s="351"/>
      <c r="BE41" s="351"/>
      <c r="BF41" s="351"/>
      <c r="BG41" s="351"/>
      <c r="BH41" s="351">
        <v>0</v>
      </c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93">
        <f>D41</f>
        <v>0</v>
      </c>
      <c r="CG41" s="393">
        <f t="shared" ref="CG41:CM41" si="150">E41</f>
        <v>0</v>
      </c>
      <c r="CH41" s="393">
        <f t="shared" si="150"/>
        <v>0</v>
      </c>
      <c r="CI41" s="393">
        <f t="shared" si="150"/>
        <v>0</v>
      </c>
      <c r="CJ41" s="393">
        <f t="shared" si="150"/>
        <v>0</v>
      </c>
      <c r="CK41" s="393">
        <f t="shared" si="150"/>
        <v>0.5</v>
      </c>
      <c r="CL41" s="393">
        <f t="shared" si="150"/>
        <v>0</v>
      </c>
      <c r="CM41" s="393">
        <f t="shared" si="150"/>
        <v>0</v>
      </c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>
        <f t="shared" ref="DL41:DL42" si="151">D41</f>
        <v>0</v>
      </c>
      <c r="DM41" s="351">
        <f t="shared" ref="DM41:DM42" si="152">E41</f>
        <v>0</v>
      </c>
      <c r="DN41" s="351">
        <f t="shared" ref="DN41:DN42" si="153">F41</f>
        <v>0</v>
      </c>
      <c r="DO41" s="351">
        <f t="shared" ref="DO41:DO42" si="154">G41</f>
        <v>0</v>
      </c>
      <c r="DP41" s="351">
        <f t="shared" ref="DP41:DP42" si="155">H41</f>
        <v>0</v>
      </c>
      <c r="DQ41" s="351">
        <f t="shared" ref="DQ41:DQ42" si="156">I41</f>
        <v>0.5</v>
      </c>
      <c r="DR41" s="351">
        <f t="shared" ref="DR41:DR42" si="157">J41</f>
        <v>0</v>
      </c>
      <c r="DS41" s="351">
        <f t="shared" ref="DS41:DS42" si="158">K41</f>
        <v>0</v>
      </c>
      <c r="DT41" s="351"/>
      <c r="DU41" s="351"/>
      <c r="DV41" s="351"/>
      <c r="DW41" s="351"/>
      <c r="DX41" s="351"/>
      <c r="DY41" s="351"/>
      <c r="DZ41" s="351"/>
      <c r="EA41" s="351"/>
      <c r="EB41" s="370"/>
    </row>
    <row r="42" spans="1:132" s="362" customFormat="1" x14ac:dyDescent="0.25">
      <c r="A42" s="14" t="s">
        <v>700</v>
      </c>
      <c r="B42" s="419" t="s">
        <v>737</v>
      </c>
      <c r="C42" s="390" t="s">
        <v>723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1"/>
      <c r="CQ42" s="351"/>
      <c r="CR42" s="351"/>
      <c r="CS42" s="351"/>
      <c r="CT42" s="351"/>
      <c r="CU42" s="351"/>
      <c r="CV42" s="393">
        <f>D42</f>
        <v>0</v>
      </c>
      <c r="CW42" s="393">
        <f t="shared" ref="CW42:DC42" si="159">E42</f>
        <v>0</v>
      </c>
      <c r="CX42" s="393">
        <f t="shared" si="159"/>
        <v>0</v>
      </c>
      <c r="CY42" s="393">
        <f t="shared" si="159"/>
        <v>0</v>
      </c>
      <c r="CZ42" s="393">
        <f t="shared" si="159"/>
        <v>0</v>
      </c>
      <c r="DA42" s="393">
        <f t="shared" si="159"/>
        <v>0</v>
      </c>
      <c r="DB42" s="393">
        <f t="shared" si="159"/>
        <v>0</v>
      </c>
      <c r="DC42" s="393">
        <f t="shared" si="159"/>
        <v>0</v>
      </c>
      <c r="DD42" s="351"/>
      <c r="DE42" s="351"/>
      <c r="DF42" s="351"/>
      <c r="DG42" s="351"/>
      <c r="DH42" s="351"/>
      <c r="DI42" s="351"/>
      <c r="DJ42" s="351"/>
      <c r="DK42" s="351"/>
      <c r="DL42" s="351">
        <f t="shared" si="151"/>
        <v>0</v>
      </c>
      <c r="DM42" s="351">
        <f t="shared" si="152"/>
        <v>0</v>
      </c>
      <c r="DN42" s="351">
        <f t="shared" si="153"/>
        <v>0</v>
      </c>
      <c r="DO42" s="351">
        <f t="shared" si="154"/>
        <v>0</v>
      </c>
      <c r="DP42" s="351">
        <f t="shared" si="155"/>
        <v>0</v>
      </c>
      <c r="DQ42" s="351">
        <f t="shared" si="156"/>
        <v>0</v>
      </c>
      <c r="DR42" s="351">
        <f t="shared" si="157"/>
        <v>0</v>
      </c>
      <c r="DS42" s="351">
        <f t="shared" si="158"/>
        <v>0</v>
      </c>
      <c r="DT42" s="351"/>
      <c r="DU42" s="351"/>
      <c r="DV42" s="351"/>
      <c r="DW42" s="351"/>
      <c r="DX42" s="351"/>
      <c r="DY42" s="351"/>
      <c r="DZ42" s="351"/>
      <c r="EA42" s="351"/>
      <c r="EB42" s="370"/>
    </row>
    <row r="43" spans="1:132" s="200" customFormat="1" ht="31.5" x14ac:dyDescent="0.25">
      <c r="A43" s="197" t="s">
        <v>112</v>
      </c>
      <c r="B43" s="11" t="s">
        <v>113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</row>
    <row r="44" spans="1:132" s="196" customFormat="1" ht="31.5" x14ac:dyDescent="0.25">
      <c r="A44" s="194" t="s">
        <v>47</v>
      </c>
      <c r="B44" s="65" t="s">
        <v>48</v>
      </c>
      <c r="C44" s="195">
        <v>0</v>
      </c>
      <c r="D44" s="195">
        <f>SUM(D45:D49)</f>
        <v>0</v>
      </c>
      <c r="E44" s="195">
        <f t="shared" ref="E44:CV44" si="160">SUM(E45:E49)</f>
        <v>0</v>
      </c>
      <c r="F44" s="195">
        <f t="shared" si="160"/>
        <v>15.163999999999998</v>
      </c>
      <c r="G44" s="195">
        <f t="shared" si="160"/>
        <v>0</v>
      </c>
      <c r="H44" s="195">
        <f t="shared" si="160"/>
        <v>0</v>
      </c>
      <c r="I44" s="195">
        <f t="shared" si="160"/>
        <v>0.82000000000000006</v>
      </c>
      <c r="J44" s="195">
        <f t="shared" si="160"/>
        <v>0</v>
      </c>
      <c r="K44" s="195">
        <f t="shared" si="160"/>
        <v>0</v>
      </c>
      <c r="L44" s="195">
        <f t="shared" si="160"/>
        <v>0</v>
      </c>
      <c r="M44" s="195">
        <f t="shared" si="160"/>
        <v>0</v>
      </c>
      <c r="N44" s="195">
        <f t="shared" si="160"/>
        <v>0</v>
      </c>
      <c r="O44" s="195">
        <f t="shared" si="160"/>
        <v>0</v>
      </c>
      <c r="P44" s="195">
        <f t="shared" si="160"/>
        <v>0</v>
      </c>
      <c r="Q44" s="195">
        <f t="shared" si="160"/>
        <v>0</v>
      </c>
      <c r="R44" s="195">
        <f t="shared" si="160"/>
        <v>0</v>
      </c>
      <c r="S44" s="195">
        <f t="shared" si="160"/>
        <v>0</v>
      </c>
      <c r="T44" s="195">
        <f t="shared" si="160"/>
        <v>0</v>
      </c>
      <c r="U44" s="195">
        <f t="shared" si="160"/>
        <v>0</v>
      </c>
      <c r="V44" s="195">
        <f t="shared" si="160"/>
        <v>0</v>
      </c>
      <c r="W44" s="195">
        <f t="shared" si="160"/>
        <v>0</v>
      </c>
      <c r="X44" s="195">
        <f t="shared" si="160"/>
        <v>0</v>
      </c>
      <c r="Y44" s="195">
        <f t="shared" si="160"/>
        <v>0</v>
      </c>
      <c r="Z44" s="195">
        <f t="shared" si="160"/>
        <v>0</v>
      </c>
      <c r="AA44" s="195">
        <f t="shared" si="160"/>
        <v>0</v>
      </c>
      <c r="AB44" s="195">
        <f t="shared" si="160"/>
        <v>0</v>
      </c>
      <c r="AC44" s="195">
        <f t="shared" si="160"/>
        <v>0</v>
      </c>
      <c r="AD44" s="195">
        <f t="shared" si="160"/>
        <v>0</v>
      </c>
      <c r="AE44" s="195">
        <f t="shared" si="160"/>
        <v>0</v>
      </c>
      <c r="AF44" s="195">
        <f t="shared" si="160"/>
        <v>0</v>
      </c>
      <c r="AG44" s="195">
        <f t="shared" si="160"/>
        <v>0</v>
      </c>
      <c r="AH44" s="195">
        <f t="shared" si="160"/>
        <v>0</v>
      </c>
      <c r="AI44" s="195">
        <f t="shared" si="160"/>
        <v>0</v>
      </c>
      <c r="AJ44" s="195">
        <f t="shared" si="160"/>
        <v>0</v>
      </c>
      <c r="AK44" s="195">
        <f t="shared" si="160"/>
        <v>0</v>
      </c>
      <c r="AL44" s="195">
        <f t="shared" si="160"/>
        <v>0</v>
      </c>
      <c r="AM44" s="195">
        <f t="shared" si="160"/>
        <v>0</v>
      </c>
      <c r="AN44" s="195">
        <f t="shared" si="160"/>
        <v>0</v>
      </c>
      <c r="AO44" s="195">
        <f t="shared" si="160"/>
        <v>0</v>
      </c>
      <c r="AP44" s="195">
        <f t="shared" si="160"/>
        <v>0</v>
      </c>
      <c r="AQ44" s="195">
        <f t="shared" si="160"/>
        <v>0</v>
      </c>
      <c r="AR44" s="195">
        <f t="shared" si="160"/>
        <v>0</v>
      </c>
      <c r="AS44" s="195">
        <f t="shared" si="160"/>
        <v>0</v>
      </c>
      <c r="AT44" s="195">
        <f t="shared" si="160"/>
        <v>0</v>
      </c>
      <c r="AU44" s="195">
        <f t="shared" si="160"/>
        <v>0</v>
      </c>
      <c r="AV44" s="195">
        <f t="shared" si="160"/>
        <v>0</v>
      </c>
      <c r="AW44" s="195">
        <f t="shared" si="160"/>
        <v>0</v>
      </c>
      <c r="AX44" s="195">
        <f t="shared" si="160"/>
        <v>0</v>
      </c>
      <c r="AY44" s="195">
        <f t="shared" si="160"/>
        <v>0</v>
      </c>
      <c r="AZ44" s="195">
        <f t="shared" si="160"/>
        <v>0</v>
      </c>
      <c r="BA44" s="195">
        <f t="shared" si="160"/>
        <v>0</v>
      </c>
      <c r="BB44" s="195">
        <f t="shared" si="160"/>
        <v>7.9</v>
      </c>
      <c r="BC44" s="195">
        <f t="shared" si="160"/>
        <v>0</v>
      </c>
      <c r="BD44" s="195">
        <f t="shared" si="160"/>
        <v>0</v>
      </c>
      <c r="BE44" s="195">
        <f t="shared" si="160"/>
        <v>0.5</v>
      </c>
      <c r="BF44" s="195">
        <f t="shared" si="160"/>
        <v>0</v>
      </c>
      <c r="BG44" s="195">
        <f t="shared" si="160"/>
        <v>0</v>
      </c>
      <c r="BH44" s="195">
        <f t="shared" si="160"/>
        <v>0</v>
      </c>
      <c r="BI44" s="195">
        <f t="shared" si="160"/>
        <v>0</v>
      </c>
      <c r="BJ44" s="195">
        <f t="shared" si="160"/>
        <v>0</v>
      </c>
      <c r="BK44" s="195">
        <f t="shared" si="160"/>
        <v>0</v>
      </c>
      <c r="BL44" s="195">
        <f t="shared" si="160"/>
        <v>0</v>
      </c>
      <c r="BM44" s="195">
        <f t="shared" si="160"/>
        <v>0</v>
      </c>
      <c r="BN44" s="195">
        <f t="shared" si="160"/>
        <v>0</v>
      </c>
      <c r="BO44" s="195">
        <f t="shared" si="160"/>
        <v>0</v>
      </c>
      <c r="BP44" s="195">
        <f t="shared" ref="BP44" si="161">SUM(BP45:BP49)</f>
        <v>0</v>
      </c>
      <c r="BQ44" s="195">
        <f t="shared" ref="BQ44" si="162">SUM(BQ45:BQ49)</f>
        <v>0</v>
      </c>
      <c r="BR44" s="195">
        <f t="shared" ref="BR44" si="163">SUM(BR45:BR49)</f>
        <v>3.1319999999999997</v>
      </c>
      <c r="BS44" s="195">
        <f t="shared" ref="BS44" si="164">SUM(BS45:BS49)</f>
        <v>0</v>
      </c>
      <c r="BT44" s="195">
        <f t="shared" ref="BT44" si="165">SUM(BT45:BT49)</f>
        <v>0</v>
      </c>
      <c r="BU44" s="195">
        <f t="shared" ref="BU44" si="166">SUM(BU45:BU49)</f>
        <v>0</v>
      </c>
      <c r="BV44" s="195">
        <f t="shared" ref="BV44" si="167">SUM(BV45:BV49)</f>
        <v>0</v>
      </c>
      <c r="BW44" s="195">
        <f t="shared" ref="BW44" si="168">SUM(BW45:BW49)</f>
        <v>0</v>
      </c>
      <c r="BX44" s="195">
        <f t="shared" ref="BX44" si="169">SUM(BX45:BX49)</f>
        <v>0</v>
      </c>
      <c r="BY44" s="195">
        <f t="shared" ref="BY44" si="170">SUM(BY45:BY49)</f>
        <v>0</v>
      </c>
      <c r="BZ44" s="195">
        <f t="shared" ref="BZ44" si="171">SUM(BZ45:BZ49)</f>
        <v>0</v>
      </c>
      <c r="CA44" s="195">
        <f t="shared" ref="CA44" si="172">SUM(CA45:CA49)</f>
        <v>0</v>
      </c>
      <c r="CB44" s="195">
        <f t="shared" ref="CB44" si="173">SUM(CB45:CB49)</f>
        <v>0</v>
      </c>
      <c r="CC44" s="195">
        <f t="shared" ref="CC44" si="174">SUM(CC45:CC49)</f>
        <v>0</v>
      </c>
      <c r="CD44" s="195">
        <f t="shared" ref="CD44" si="175">SUM(CD45:CD49)</f>
        <v>0</v>
      </c>
      <c r="CE44" s="195">
        <f t="shared" ref="CE44" si="176">SUM(CE45:CE49)</f>
        <v>0</v>
      </c>
      <c r="CF44" s="195">
        <f t="shared" ref="CF44" si="177">SUM(CF45:CF49)</f>
        <v>0</v>
      </c>
      <c r="CG44" s="195">
        <f t="shared" ref="CG44" si="178">SUM(CG45:CG49)</f>
        <v>0</v>
      </c>
      <c r="CH44" s="195">
        <f t="shared" ref="CH44" si="179">SUM(CH45:CH49)</f>
        <v>4.1319999999999997</v>
      </c>
      <c r="CI44" s="195">
        <f t="shared" ref="CI44" si="180">SUM(CI45:CI49)</f>
        <v>0</v>
      </c>
      <c r="CJ44" s="195">
        <f t="shared" ref="CJ44" si="181">SUM(CJ45:CJ49)</f>
        <v>0</v>
      </c>
      <c r="CK44" s="195">
        <f t="shared" ref="CK44" si="182">SUM(CK45:CK49)</f>
        <v>0.32</v>
      </c>
      <c r="CL44" s="195">
        <f t="shared" ref="CL44" si="183">SUM(CL45:CL49)</f>
        <v>0</v>
      </c>
      <c r="CM44" s="195">
        <f t="shared" ref="CM44" si="184">SUM(CM45:CM49)</f>
        <v>0</v>
      </c>
      <c r="CN44" s="195">
        <f t="shared" ref="CN44" si="185">SUM(CN45:CN49)</f>
        <v>0</v>
      </c>
      <c r="CO44" s="195">
        <f t="shared" ref="CO44" si="186">SUM(CO45:CO49)</f>
        <v>0</v>
      </c>
      <c r="CP44" s="195">
        <f t="shared" ref="CP44" si="187">SUM(CP45:CP49)</f>
        <v>0</v>
      </c>
      <c r="CQ44" s="195">
        <f t="shared" ref="CQ44" si="188">SUM(CQ45:CQ49)</f>
        <v>0</v>
      </c>
      <c r="CR44" s="195">
        <f t="shared" ref="CR44" si="189">SUM(CR45:CR49)</f>
        <v>0</v>
      </c>
      <c r="CS44" s="195">
        <f t="shared" ref="CS44" si="190">SUM(CS45:CS49)</f>
        <v>0</v>
      </c>
      <c r="CT44" s="195">
        <f t="shared" ref="CT44" si="191">SUM(CT45:CT49)</f>
        <v>0</v>
      </c>
      <c r="CU44" s="195">
        <f t="shared" ref="CU44" si="192">SUM(CU45:CU49)</f>
        <v>0</v>
      </c>
      <c r="CV44" s="195">
        <f t="shared" si="160"/>
        <v>0</v>
      </c>
      <c r="CW44" s="195">
        <f t="shared" ref="CW44:EA44" si="193">SUM(CW45:CW49)</f>
        <v>0</v>
      </c>
      <c r="CX44" s="195">
        <f t="shared" si="193"/>
        <v>0</v>
      </c>
      <c r="CY44" s="195">
        <f t="shared" si="193"/>
        <v>0</v>
      </c>
      <c r="CZ44" s="195">
        <f t="shared" si="193"/>
        <v>0</v>
      </c>
      <c r="DA44" s="195">
        <f t="shared" si="193"/>
        <v>0</v>
      </c>
      <c r="DB44" s="195">
        <f t="shared" si="193"/>
        <v>0</v>
      </c>
      <c r="DC44" s="195">
        <f t="shared" si="193"/>
        <v>0</v>
      </c>
      <c r="DD44" s="195">
        <f t="shared" si="193"/>
        <v>0</v>
      </c>
      <c r="DE44" s="195">
        <f t="shared" si="193"/>
        <v>0</v>
      </c>
      <c r="DF44" s="195">
        <f t="shared" si="193"/>
        <v>0</v>
      </c>
      <c r="DG44" s="195">
        <f t="shared" si="193"/>
        <v>0</v>
      </c>
      <c r="DH44" s="195">
        <f t="shared" si="193"/>
        <v>0</v>
      </c>
      <c r="DI44" s="195">
        <f t="shared" si="193"/>
        <v>0</v>
      </c>
      <c r="DJ44" s="195">
        <f t="shared" si="193"/>
        <v>0</v>
      </c>
      <c r="DK44" s="195">
        <f t="shared" si="193"/>
        <v>0</v>
      </c>
      <c r="DL44" s="195">
        <f t="shared" si="193"/>
        <v>0</v>
      </c>
      <c r="DM44" s="195">
        <f t="shared" si="193"/>
        <v>0</v>
      </c>
      <c r="DN44" s="195">
        <f t="shared" si="193"/>
        <v>15.163999999999998</v>
      </c>
      <c r="DO44" s="195">
        <f>SUM(DO45:DO49)</f>
        <v>0</v>
      </c>
      <c r="DP44" s="195">
        <f t="shared" si="193"/>
        <v>0</v>
      </c>
      <c r="DQ44" s="195">
        <f t="shared" si="193"/>
        <v>0.82000000000000006</v>
      </c>
      <c r="DR44" s="195">
        <f t="shared" si="193"/>
        <v>0</v>
      </c>
      <c r="DS44" s="195">
        <f t="shared" si="193"/>
        <v>0</v>
      </c>
      <c r="DT44" s="195">
        <f t="shared" si="193"/>
        <v>0</v>
      </c>
      <c r="DU44" s="195">
        <f t="shared" si="193"/>
        <v>0</v>
      </c>
      <c r="DV44" s="195">
        <f t="shared" si="193"/>
        <v>0</v>
      </c>
      <c r="DW44" s="195">
        <f t="shared" si="193"/>
        <v>0</v>
      </c>
      <c r="DX44" s="195">
        <f t="shared" si="193"/>
        <v>0</v>
      </c>
      <c r="DY44" s="195">
        <f t="shared" si="193"/>
        <v>0</v>
      </c>
      <c r="DZ44" s="195">
        <f t="shared" si="193"/>
        <v>0</v>
      </c>
      <c r="EA44" s="195">
        <f t="shared" si="193"/>
        <v>0</v>
      </c>
      <c r="EB44" s="209"/>
    </row>
    <row r="45" spans="1:132" s="200" customFormat="1" x14ac:dyDescent="0.25">
      <c r="A45" s="197" t="s">
        <v>74</v>
      </c>
      <c r="B45" s="11" t="s">
        <v>75</v>
      </c>
      <c r="C45" s="198">
        <v>0</v>
      </c>
      <c r="D45" s="198">
        <f>SUM(D46:D49)</f>
        <v>0</v>
      </c>
      <c r="E45" s="198">
        <f t="shared" ref="E45:CV45" si="194">SUM(E46:E49)</f>
        <v>0</v>
      </c>
      <c r="F45" s="198">
        <f t="shared" si="194"/>
        <v>7.5819999999999999</v>
      </c>
      <c r="G45" s="198">
        <f t="shared" si="194"/>
        <v>0</v>
      </c>
      <c r="H45" s="198">
        <f t="shared" si="194"/>
        <v>0</v>
      </c>
      <c r="I45" s="198">
        <f t="shared" si="194"/>
        <v>0.41000000000000003</v>
      </c>
      <c r="J45" s="198">
        <f t="shared" si="194"/>
        <v>0</v>
      </c>
      <c r="K45" s="198">
        <f t="shared" si="194"/>
        <v>0</v>
      </c>
      <c r="L45" s="198">
        <f t="shared" si="194"/>
        <v>0</v>
      </c>
      <c r="M45" s="198">
        <f t="shared" si="194"/>
        <v>0</v>
      </c>
      <c r="N45" s="198">
        <f t="shared" si="194"/>
        <v>0</v>
      </c>
      <c r="O45" s="198">
        <f t="shared" si="194"/>
        <v>0</v>
      </c>
      <c r="P45" s="198">
        <f t="shared" si="194"/>
        <v>0</v>
      </c>
      <c r="Q45" s="198">
        <f t="shared" si="194"/>
        <v>0</v>
      </c>
      <c r="R45" s="198">
        <f t="shared" si="194"/>
        <v>0</v>
      </c>
      <c r="S45" s="198">
        <f t="shared" si="194"/>
        <v>0</v>
      </c>
      <c r="T45" s="198">
        <f t="shared" si="194"/>
        <v>0</v>
      </c>
      <c r="U45" s="198">
        <f t="shared" si="194"/>
        <v>0</v>
      </c>
      <c r="V45" s="198">
        <f t="shared" si="194"/>
        <v>0</v>
      </c>
      <c r="W45" s="198">
        <f t="shared" si="194"/>
        <v>0</v>
      </c>
      <c r="X45" s="198">
        <f t="shared" si="194"/>
        <v>0</v>
      </c>
      <c r="Y45" s="198">
        <f t="shared" si="194"/>
        <v>0</v>
      </c>
      <c r="Z45" s="198">
        <f t="shared" si="194"/>
        <v>0</v>
      </c>
      <c r="AA45" s="198">
        <f t="shared" si="194"/>
        <v>0</v>
      </c>
      <c r="AB45" s="198">
        <f t="shared" si="194"/>
        <v>0</v>
      </c>
      <c r="AC45" s="198">
        <f t="shared" si="194"/>
        <v>0</v>
      </c>
      <c r="AD45" s="198">
        <f t="shared" si="194"/>
        <v>0</v>
      </c>
      <c r="AE45" s="198">
        <f t="shared" si="194"/>
        <v>0</v>
      </c>
      <c r="AF45" s="198">
        <f t="shared" si="194"/>
        <v>0</v>
      </c>
      <c r="AG45" s="198">
        <f t="shared" si="194"/>
        <v>0</v>
      </c>
      <c r="AH45" s="198">
        <f t="shared" si="194"/>
        <v>0</v>
      </c>
      <c r="AI45" s="198">
        <f t="shared" si="194"/>
        <v>0</v>
      </c>
      <c r="AJ45" s="198">
        <f t="shared" si="194"/>
        <v>0</v>
      </c>
      <c r="AK45" s="198">
        <f t="shared" si="194"/>
        <v>0</v>
      </c>
      <c r="AL45" s="198">
        <f t="shared" si="194"/>
        <v>0</v>
      </c>
      <c r="AM45" s="198">
        <f t="shared" si="194"/>
        <v>0</v>
      </c>
      <c r="AN45" s="198">
        <f t="shared" si="194"/>
        <v>0</v>
      </c>
      <c r="AO45" s="198">
        <f t="shared" si="194"/>
        <v>0</v>
      </c>
      <c r="AP45" s="198">
        <f t="shared" si="194"/>
        <v>0</v>
      </c>
      <c r="AQ45" s="198">
        <f t="shared" si="194"/>
        <v>0</v>
      </c>
      <c r="AR45" s="198">
        <f t="shared" si="194"/>
        <v>0</v>
      </c>
      <c r="AS45" s="198">
        <f t="shared" si="194"/>
        <v>0</v>
      </c>
      <c r="AT45" s="198">
        <f t="shared" si="194"/>
        <v>0</v>
      </c>
      <c r="AU45" s="198">
        <f t="shared" si="194"/>
        <v>0</v>
      </c>
      <c r="AV45" s="198">
        <f t="shared" si="194"/>
        <v>0</v>
      </c>
      <c r="AW45" s="198">
        <f t="shared" si="194"/>
        <v>0</v>
      </c>
      <c r="AX45" s="198">
        <f t="shared" si="194"/>
        <v>0</v>
      </c>
      <c r="AY45" s="198">
        <f t="shared" si="194"/>
        <v>0</v>
      </c>
      <c r="AZ45" s="198">
        <f t="shared" si="194"/>
        <v>0</v>
      </c>
      <c r="BA45" s="198">
        <f t="shared" si="194"/>
        <v>0</v>
      </c>
      <c r="BB45" s="198">
        <f t="shared" si="194"/>
        <v>3.95</v>
      </c>
      <c r="BC45" s="198">
        <f t="shared" si="194"/>
        <v>0</v>
      </c>
      <c r="BD45" s="198">
        <f t="shared" si="194"/>
        <v>0</v>
      </c>
      <c r="BE45" s="198">
        <f t="shared" si="194"/>
        <v>0.25</v>
      </c>
      <c r="BF45" s="198">
        <f t="shared" si="194"/>
        <v>0</v>
      </c>
      <c r="BG45" s="198">
        <f t="shared" si="194"/>
        <v>0</v>
      </c>
      <c r="BH45" s="198">
        <f t="shared" si="194"/>
        <v>0</v>
      </c>
      <c r="BI45" s="198">
        <f t="shared" si="194"/>
        <v>0</v>
      </c>
      <c r="BJ45" s="198">
        <f t="shared" si="194"/>
        <v>0</v>
      </c>
      <c r="BK45" s="198">
        <f t="shared" si="194"/>
        <v>0</v>
      </c>
      <c r="BL45" s="198">
        <f t="shared" si="194"/>
        <v>0</v>
      </c>
      <c r="BM45" s="198">
        <f t="shared" si="194"/>
        <v>0</v>
      </c>
      <c r="BN45" s="198">
        <f t="shared" si="194"/>
        <v>0</v>
      </c>
      <c r="BO45" s="198">
        <f t="shared" si="194"/>
        <v>0</v>
      </c>
      <c r="BP45" s="198">
        <f t="shared" si="194"/>
        <v>0</v>
      </c>
      <c r="BQ45" s="198">
        <f t="shared" si="194"/>
        <v>0</v>
      </c>
      <c r="BR45" s="198">
        <f t="shared" si="194"/>
        <v>1.5659999999999998</v>
      </c>
      <c r="BS45" s="198">
        <f t="shared" si="194"/>
        <v>0</v>
      </c>
      <c r="BT45" s="198">
        <f t="shared" si="194"/>
        <v>0</v>
      </c>
      <c r="BU45" s="198">
        <f t="shared" si="194"/>
        <v>0</v>
      </c>
      <c r="BV45" s="198">
        <f t="shared" si="194"/>
        <v>0</v>
      </c>
      <c r="BW45" s="198">
        <f t="shared" si="194"/>
        <v>0</v>
      </c>
      <c r="BX45" s="401">
        <f t="shared" si="194"/>
        <v>0</v>
      </c>
      <c r="BY45" s="198">
        <f t="shared" si="194"/>
        <v>0</v>
      </c>
      <c r="BZ45" s="198">
        <f t="shared" si="194"/>
        <v>0</v>
      </c>
      <c r="CA45" s="198">
        <f t="shared" si="194"/>
        <v>0</v>
      </c>
      <c r="CB45" s="198">
        <f t="shared" si="194"/>
        <v>0</v>
      </c>
      <c r="CC45" s="198">
        <f t="shared" si="194"/>
        <v>0</v>
      </c>
      <c r="CD45" s="198">
        <f t="shared" si="194"/>
        <v>0</v>
      </c>
      <c r="CE45" s="198">
        <f t="shared" si="194"/>
        <v>0</v>
      </c>
      <c r="CF45" s="198">
        <f t="shared" ref="CF45:CU45" si="195">SUM(CF46:CF49)</f>
        <v>0</v>
      </c>
      <c r="CG45" s="198">
        <f t="shared" si="195"/>
        <v>0</v>
      </c>
      <c r="CH45" s="198">
        <f t="shared" si="195"/>
        <v>2.0659999999999998</v>
      </c>
      <c r="CI45" s="198">
        <f t="shared" si="195"/>
        <v>0</v>
      </c>
      <c r="CJ45" s="198">
        <f t="shared" si="195"/>
        <v>0</v>
      </c>
      <c r="CK45" s="198">
        <f t="shared" si="195"/>
        <v>0.16</v>
      </c>
      <c r="CL45" s="198">
        <f t="shared" si="195"/>
        <v>0</v>
      </c>
      <c r="CM45" s="198">
        <f t="shared" si="195"/>
        <v>0</v>
      </c>
      <c r="CN45" s="401">
        <f t="shared" si="195"/>
        <v>0</v>
      </c>
      <c r="CO45" s="198">
        <f t="shared" si="195"/>
        <v>0</v>
      </c>
      <c r="CP45" s="198">
        <f t="shared" si="195"/>
        <v>0</v>
      </c>
      <c r="CQ45" s="198">
        <f t="shared" si="195"/>
        <v>0</v>
      </c>
      <c r="CR45" s="198">
        <f t="shared" si="195"/>
        <v>0</v>
      </c>
      <c r="CS45" s="198">
        <f t="shared" si="195"/>
        <v>0</v>
      </c>
      <c r="CT45" s="198">
        <f t="shared" si="195"/>
        <v>0</v>
      </c>
      <c r="CU45" s="198">
        <f t="shared" si="195"/>
        <v>0</v>
      </c>
      <c r="CV45" s="198">
        <f t="shared" si="194"/>
        <v>0</v>
      </c>
      <c r="CW45" s="198">
        <f t="shared" ref="CW45:DK45" si="196">SUM(CW46:CW49)</f>
        <v>0</v>
      </c>
      <c r="CX45" s="198">
        <f t="shared" si="196"/>
        <v>0</v>
      </c>
      <c r="CY45" s="198">
        <f t="shared" si="196"/>
        <v>0</v>
      </c>
      <c r="CZ45" s="198">
        <f t="shared" si="196"/>
        <v>0</v>
      </c>
      <c r="DA45" s="198">
        <f t="shared" si="196"/>
        <v>0</v>
      </c>
      <c r="DB45" s="198">
        <f t="shared" si="196"/>
        <v>0</v>
      </c>
      <c r="DC45" s="198">
        <f t="shared" si="196"/>
        <v>0</v>
      </c>
      <c r="DD45" s="401">
        <f t="shared" si="196"/>
        <v>0</v>
      </c>
      <c r="DE45" s="198">
        <f t="shared" si="196"/>
        <v>0</v>
      </c>
      <c r="DF45" s="198">
        <f t="shared" si="196"/>
        <v>0</v>
      </c>
      <c r="DG45" s="198">
        <f t="shared" si="196"/>
        <v>0</v>
      </c>
      <c r="DH45" s="198">
        <f t="shared" si="196"/>
        <v>0</v>
      </c>
      <c r="DI45" s="198">
        <f t="shared" si="196"/>
        <v>0</v>
      </c>
      <c r="DJ45" s="198">
        <f t="shared" si="196"/>
        <v>0</v>
      </c>
      <c r="DK45" s="198">
        <f t="shared" si="196"/>
        <v>0</v>
      </c>
      <c r="DL45" s="198">
        <f>SUM(DL46:DL49)</f>
        <v>0</v>
      </c>
      <c r="DM45" s="198">
        <f t="shared" ref="DM45:EA45" si="197">SUM(DM46:DM49)</f>
        <v>0</v>
      </c>
      <c r="DN45" s="198">
        <f t="shared" si="197"/>
        <v>7.5819999999999999</v>
      </c>
      <c r="DO45" s="198">
        <f t="shared" si="197"/>
        <v>0</v>
      </c>
      <c r="DP45" s="198">
        <f t="shared" si="197"/>
        <v>0</v>
      </c>
      <c r="DQ45" s="198">
        <f t="shared" si="197"/>
        <v>0.41000000000000003</v>
      </c>
      <c r="DR45" s="198">
        <f t="shared" si="197"/>
        <v>0</v>
      </c>
      <c r="DS45" s="198">
        <f t="shared" si="197"/>
        <v>0</v>
      </c>
      <c r="DT45" s="198">
        <f t="shared" si="197"/>
        <v>0</v>
      </c>
      <c r="DU45" s="198">
        <f t="shared" si="197"/>
        <v>0</v>
      </c>
      <c r="DV45" s="198">
        <f t="shared" si="197"/>
        <v>0</v>
      </c>
      <c r="DW45" s="198">
        <f t="shared" si="197"/>
        <v>0</v>
      </c>
      <c r="DX45" s="198">
        <f t="shared" si="197"/>
        <v>0</v>
      </c>
      <c r="DY45" s="198">
        <f t="shared" si="197"/>
        <v>0</v>
      </c>
      <c r="DZ45" s="198">
        <f t="shared" si="197"/>
        <v>0</v>
      </c>
      <c r="EA45" s="198">
        <f t="shared" si="197"/>
        <v>0</v>
      </c>
      <c r="EB45" s="212"/>
    </row>
    <row r="46" spans="1:132" s="362" customFormat="1" ht="25.5" x14ac:dyDescent="0.25">
      <c r="A46" s="14" t="s">
        <v>76</v>
      </c>
      <c r="B46" s="417" t="s">
        <v>738</v>
      </c>
      <c r="C46" s="390" t="s">
        <v>724</v>
      </c>
      <c r="D46" s="351"/>
      <c r="E46" s="351"/>
      <c r="F46" s="351">
        <v>3.95</v>
      </c>
      <c r="G46" s="351"/>
      <c r="H46" s="351"/>
      <c r="I46" s="351">
        <v>0.25</v>
      </c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93">
        <f>D46</f>
        <v>0</v>
      </c>
      <c r="BA46" s="393">
        <f t="shared" ref="BA46:BG46" si="198">E46</f>
        <v>0</v>
      </c>
      <c r="BB46" s="393">
        <f t="shared" si="198"/>
        <v>3.95</v>
      </c>
      <c r="BC46" s="393">
        <f t="shared" si="198"/>
        <v>0</v>
      </c>
      <c r="BD46" s="393">
        <f t="shared" si="198"/>
        <v>0</v>
      </c>
      <c r="BE46" s="393">
        <f t="shared" si="198"/>
        <v>0.25</v>
      </c>
      <c r="BF46" s="393">
        <f t="shared" si="198"/>
        <v>0</v>
      </c>
      <c r="BG46" s="393">
        <f t="shared" si="198"/>
        <v>0</v>
      </c>
      <c r="BH46" s="351">
        <f>L46</f>
        <v>0</v>
      </c>
      <c r="BI46" s="351">
        <f t="shared" ref="BI46:BN46" si="199">M46</f>
        <v>0</v>
      </c>
      <c r="BJ46" s="351">
        <f t="shared" si="199"/>
        <v>0</v>
      </c>
      <c r="BK46" s="351">
        <f t="shared" si="199"/>
        <v>0</v>
      </c>
      <c r="BL46" s="351">
        <f t="shared" si="199"/>
        <v>0</v>
      </c>
      <c r="BM46" s="351">
        <f t="shared" si="199"/>
        <v>0</v>
      </c>
      <c r="BN46" s="351">
        <f t="shared" si="199"/>
        <v>0</v>
      </c>
      <c r="BO46" s="370"/>
      <c r="BP46" s="370"/>
      <c r="BQ46" s="370"/>
      <c r="BR46" s="370"/>
      <c r="BS46" s="370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  <c r="CE46" s="351"/>
      <c r="CF46" s="370"/>
      <c r="CG46" s="370"/>
      <c r="CH46" s="370"/>
      <c r="CI46" s="370"/>
      <c r="CJ46" s="351"/>
      <c r="CK46" s="351"/>
      <c r="CL46" s="351"/>
      <c r="CM46" s="351"/>
      <c r="CN46" s="351"/>
      <c r="CO46" s="351"/>
      <c r="CP46" s="351"/>
      <c r="CQ46" s="351"/>
      <c r="CR46" s="351"/>
      <c r="CS46" s="351"/>
      <c r="CT46" s="351"/>
      <c r="CU46" s="351"/>
      <c r="CV46" s="370"/>
      <c r="CW46" s="370"/>
      <c r="CX46" s="370"/>
      <c r="CY46" s="370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>
        <f>D46</f>
        <v>0</v>
      </c>
      <c r="DM46" s="351">
        <f t="shared" ref="DM46:DS46" si="200">E46</f>
        <v>0</v>
      </c>
      <c r="DN46" s="351">
        <f t="shared" si="200"/>
        <v>3.95</v>
      </c>
      <c r="DO46" s="351">
        <f t="shared" si="200"/>
        <v>0</v>
      </c>
      <c r="DP46" s="351">
        <f t="shared" si="200"/>
        <v>0</v>
      </c>
      <c r="DQ46" s="351">
        <f t="shared" si="200"/>
        <v>0.25</v>
      </c>
      <c r="DR46" s="351">
        <f t="shared" si="200"/>
        <v>0</v>
      </c>
      <c r="DS46" s="351">
        <f t="shared" si="200"/>
        <v>0</v>
      </c>
      <c r="DT46" s="351">
        <f>BH46</f>
        <v>0</v>
      </c>
      <c r="DU46" s="351"/>
      <c r="DV46" s="351">
        <f t="shared" ref="DV46:DV49" si="201">AT46+BJ46+DF46</f>
        <v>0</v>
      </c>
      <c r="DW46" s="351"/>
      <c r="DX46" s="351">
        <f>AV46+BL46+DH46</f>
        <v>0</v>
      </c>
      <c r="DY46" s="351"/>
      <c r="DZ46" s="351"/>
      <c r="EA46" s="351"/>
      <c r="EB46" s="370"/>
    </row>
    <row r="47" spans="1:132" s="362" customFormat="1" x14ac:dyDescent="0.25">
      <c r="A47" s="14" t="s">
        <v>659</v>
      </c>
      <c r="B47" s="417" t="s">
        <v>739</v>
      </c>
      <c r="C47" s="390" t="s">
        <v>725</v>
      </c>
      <c r="D47" s="351"/>
      <c r="E47" s="351"/>
      <c r="F47" s="351">
        <v>0.74099999999999999</v>
      </c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70"/>
      <c r="BH47" s="351"/>
      <c r="BI47" s="351"/>
      <c r="BJ47" s="351"/>
      <c r="BK47" s="351"/>
      <c r="BL47" s="351"/>
      <c r="BM47" s="351"/>
      <c r="BN47" s="351"/>
      <c r="BO47" s="370"/>
      <c r="BP47" s="393">
        <f>D47</f>
        <v>0</v>
      </c>
      <c r="BQ47" s="393">
        <f t="shared" ref="BQ47:BW47" si="202">E47</f>
        <v>0</v>
      </c>
      <c r="BR47" s="393">
        <f t="shared" si="202"/>
        <v>0.74099999999999999</v>
      </c>
      <c r="BS47" s="393">
        <f t="shared" si="202"/>
        <v>0</v>
      </c>
      <c r="BT47" s="393">
        <f t="shared" si="202"/>
        <v>0</v>
      </c>
      <c r="BU47" s="393">
        <f t="shared" si="202"/>
        <v>0</v>
      </c>
      <c r="BV47" s="393">
        <f t="shared" si="202"/>
        <v>0</v>
      </c>
      <c r="BW47" s="393">
        <f t="shared" si="202"/>
        <v>0</v>
      </c>
      <c r="BX47" s="402"/>
      <c r="BY47" s="402"/>
      <c r="BZ47" s="402"/>
      <c r="CA47" s="402"/>
      <c r="CB47" s="351"/>
      <c r="CC47" s="351"/>
      <c r="CD47" s="351"/>
      <c r="CE47" s="351"/>
      <c r="CF47" s="370"/>
      <c r="CG47" s="370"/>
      <c r="CH47" s="370"/>
      <c r="CI47" s="370"/>
      <c r="CJ47" s="351"/>
      <c r="CK47" s="351"/>
      <c r="CL47" s="351"/>
      <c r="CM47" s="351"/>
      <c r="CN47" s="402"/>
      <c r="CO47" s="402"/>
      <c r="CP47" s="402"/>
      <c r="CQ47" s="402"/>
      <c r="CR47" s="351"/>
      <c r="CS47" s="351"/>
      <c r="CT47" s="351"/>
      <c r="CU47" s="351"/>
      <c r="CV47" s="370"/>
      <c r="CW47" s="370"/>
      <c r="CX47" s="370"/>
      <c r="CY47" s="370"/>
      <c r="CZ47" s="351"/>
      <c r="DA47" s="351"/>
      <c r="DB47" s="351"/>
      <c r="DC47" s="351"/>
      <c r="DD47" s="402">
        <f t="shared" ref="DD47:DK48" si="203">L47</f>
        <v>0</v>
      </c>
      <c r="DE47" s="402">
        <f t="shared" si="203"/>
        <v>0</v>
      </c>
      <c r="DF47" s="402">
        <f t="shared" si="203"/>
        <v>0</v>
      </c>
      <c r="DG47" s="402">
        <f t="shared" si="203"/>
        <v>0</v>
      </c>
      <c r="DH47" s="351">
        <f t="shared" si="203"/>
        <v>0</v>
      </c>
      <c r="DI47" s="351">
        <f t="shared" si="203"/>
        <v>0</v>
      </c>
      <c r="DJ47" s="351">
        <f t="shared" si="203"/>
        <v>0</v>
      </c>
      <c r="DK47" s="351">
        <f t="shared" si="203"/>
        <v>0</v>
      </c>
      <c r="DL47" s="351">
        <f t="shared" ref="DL47:DL49" si="204">D47</f>
        <v>0</v>
      </c>
      <c r="DM47" s="351">
        <f t="shared" ref="DM47:DM49" si="205">E47</f>
        <v>0</v>
      </c>
      <c r="DN47" s="351">
        <f t="shared" ref="DN47:DN49" si="206">F47</f>
        <v>0.74099999999999999</v>
      </c>
      <c r="DO47" s="351">
        <f t="shared" ref="DO47:DO49" si="207">G47</f>
        <v>0</v>
      </c>
      <c r="DP47" s="351">
        <f t="shared" ref="DP47:DP49" si="208">H47</f>
        <v>0</v>
      </c>
      <c r="DQ47" s="351">
        <f t="shared" ref="DQ47:DQ49" si="209">I47</f>
        <v>0</v>
      </c>
      <c r="DR47" s="351">
        <f t="shared" ref="DR47:DR49" si="210">J47</f>
        <v>0</v>
      </c>
      <c r="DS47" s="351">
        <f t="shared" ref="DS47:DS49" si="211">K47</f>
        <v>0</v>
      </c>
      <c r="DT47" s="351">
        <f>DD47</f>
        <v>0</v>
      </c>
      <c r="DU47" s="351">
        <f t="shared" ref="DU47:EA48" si="212">DE47</f>
        <v>0</v>
      </c>
      <c r="DV47" s="351">
        <f t="shared" si="212"/>
        <v>0</v>
      </c>
      <c r="DW47" s="351">
        <f t="shared" si="212"/>
        <v>0</v>
      </c>
      <c r="DX47" s="351">
        <f t="shared" si="212"/>
        <v>0</v>
      </c>
      <c r="DY47" s="351">
        <f t="shared" si="212"/>
        <v>0</v>
      </c>
      <c r="DZ47" s="351">
        <f t="shared" si="212"/>
        <v>0</v>
      </c>
      <c r="EA47" s="351">
        <f t="shared" si="212"/>
        <v>0</v>
      </c>
      <c r="EB47" s="653"/>
    </row>
    <row r="48" spans="1:132" s="362" customFormat="1" x14ac:dyDescent="0.25">
      <c r="A48" s="14" t="s">
        <v>661</v>
      </c>
      <c r="B48" s="417" t="s">
        <v>740</v>
      </c>
      <c r="C48" s="390" t="s">
        <v>726</v>
      </c>
      <c r="D48" s="351"/>
      <c r="E48" s="351"/>
      <c r="F48" s="351">
        <v>0.82499999999999996</v>
      </c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70"/>
      <c r="BH48" s="351"/>
      <c r="BI48" s="351"/>
      <c r="BJ48" s="351"/>
      <c r="BK48" s="351"/>
      <c r="BL48" s="351"/>
      <c r="BM48" s="351"/>
      <c r="BN48" s="351"/>
      <c r="BO48" s="370"/>
      <c r="BP48" s="393">
        <f>D48</f>
        <v>0</v>
      </c>
      <c r="BQ48" s="393">
        <f t="shared" ref="BQ48" si="213">E48</f>
        <v>0</v>
      </c>
      <c r="BR48" s="393">
        <f t="shared" ref="BR48" si="214">F48</f>
        <v>0.82499999999999996</v>
      </c>
      <c r="BS48" s="393">
        <f t="shared" ref="BS48" si="215">G48</f>
        <v>0</v>
      </c>
      <c r="BT48" s="393">
        <f t="shared" ref="BT48" si="216">H48</f>
        <v>0</v>
      </c>
      <c r="BU48" s="393">
        <f t="shared" ref="BU48" si="217">I48</f>
        <v>0</v>
      </c>
      <c r="BV48" s="393">
        <f t="shared" ref="BV48" si="218">J48</f>
        <v>0</v>
      </c>
      <c r="BW48" s="393">
        <f t="shared" ref="BW48" si="219">K48</f>
        <v>0</v>
      </c>
      <c r="BX48" s="402"/>
      <c r="BY48" s="402"/>
      <c r="BZ48" s="402"/>
      <c r="CA48" s="402"/>
      <c r="CB48" s="351"/>
      <c r="CC48" s="351"/>
      <c r="CD48" s="351"/>
      <c r="CE48" s="351"/>
      <c r="CF48" s="370"/>
      <c r="CG48" s="370"/>
      <c r="CH48" s="370"/>
      <c r="CI48" s="370"/>
      <c r="CJ48" s="351"/>
      <c r="CK48" s="351"/>
      <c r="CL48" s="351"/>
      <c r="CM48" s="351"/>
      <c r="CN48" s="402"/>
      <c r="CO48" s="402"/>
      <c r="CP48" s="402"/>
      <c r="CQ48" s="402"/>
      <c r="CR48" s="351"/>
      <c r="CS48" s="351"/>
      <c r="CT48" s="351"/>
      <c r="CU48" s="351"/>
      <c r="CV48" s="370"/>
      <c r="CW48" s="370"/>
      <c r="CX48" s="370"/>
      <c r="CY48" s="370"/>
      <c r="CZ48" s="351"/>
      <c r="DA48" s="351"/>
      <c r="DB48" s="351"/>
      <c r="DC48" s="351"/>
      <c r="DD48" s="402">
        <f t="shared" si="203"/>
        <v>0</v>
      </c>
      <c r="DE48" s="402">
        <f t="shared" si="203"/>
        <v>0</v>
      </c>
      <c r="DF48" s="402">
        <f t="shared" si="203"/>
        <v>0</v>
      </c>
      <c r="DG48" s="402">
        <f t="shared" si="203"/>
        <v>0</v>
      </c>
      <c r="DH48" s="351">
        <f t="shared" si="203"/>
        <v>0</v>
      </c>
      <c r="DI48" s="351">
        <f t="shared" si="203"/>
        <v>0</v>
      </c>
      <c r="DJ48" s="351">
        <f t="shared" si="203"/>
        <v>0</v>
      </c>
      <c r="DK48" s="351">
        <f t="shared" si="203"/>
        <v>0</v>
      </c>
      <c r="DL48" s="351">
        <f t="shared" si="204"/>
        <v>0</v>
      </c>
      <c r="DM48" s="351">
        <f t="shared" si="205"/>
        <v>0</v>
      </c>
      <c r="DN48" s="351">
        <f t="shared" si="206"/>
        <v>0.82499999999999996</v>
      </c>
      <c r="DO48" s="351">
        <f t="shared" si="207"/>
        <v>0</v>
      </c>
      <c r="DP48" s="351">
        <f t="shared" si="208"/>
        <v>0</v>
      </c>
      <c r="DQ48" s="351">
        <f t="shared" si="209"/>
        <v>0</v>
      </c>
      <c r="DR48" s="351">
        <f t="shared" si="210"/>
        <v>0</v>
      </c>
      <c r="DS48" s="351">
        <f t="shared" si="211"/>
        <v>0</v>
      </c>
      <c r="DT48" s="351">
        <f>DD48</f>
        <v>0</v>
      </c>
      <c r="DU48" s="351">
        <f t="shared" si="212"/>
        <v>0</v>
      </c>
      <c r="DV48" s="351">
        <f t="shared" si="212"/>
        <v>0</v>
      </c>
      <c r="DW48" s="351">
        <f t="shared" si="212"/>
        <v>0</v>
      </c>
      <c r="DX48" s="351">
        <f t="shared" si="212"/>
        <v>0</v>
      </c>
      <c r="DY48" s="351">
        <f t="shared" si="212"/>
        <v>0</v>
      </c>
      <c r="DZ48" s="351">
        <f t="shared" si="212"/>
        <v>0</v>
      </c>
      <c r="EA48" s="351">
        <f t="shared" si="212"/>
        <v>0</v>
      </c>
      <c r="EB48" s="654"/>
    </row>
    <row r="49" spans="1:132" s="362" customFormat="1" ht="38.25" x14ac:dyDescent="0.25">
      <c r="A49" s="14" t="s">
        <v>662</v>
      </c>
      <c r="B49" s="417" t="s">
        <v>741</v>
      </c>
      <c r="C49" s="390" t="s">
        <v>727</v>
      </c>
      <c r="D49" s="351"/>
      <c r="E49" s="351"/>
      <c r="F49" s="351">
        <v>2.0659999999999998</v>
      </c>
      <c r="G49" s="351"/>
      <c r="H49" s="351"/>
      <c r="I49" s="351">
        <v>0.16</v>
      </c>
      <c r="J49" s="351"/>
      <c r="K49" s="351"/>
      <c r="L49" s="351"/>
      <c r="M49" s="351"/>
      <c r="N49" s="351"/>
      <c r="O49" s="351"/>
      <c r="P49" s="351"/>
      <c r="Q49" s="351"/>
      <c r="R49" s="351"/>
      <c r="S49" s="351">
        <v>0</v>
      </c>
      <c r="T49" s="351">
        <v>0</v>
      </c>
      <c r="U49" s="351">
        <v>0</v>
      </c>
      <c r="V49" s="351">
        <v>0</v>
      </c>
      <c r="W49" s="351">
        <v>0</v>
      </c>
      <c r="X49" s="351">
        <v>0</v>
      </c>
      <c r="Y49" s="351">
        <v>0</v>
      </c>
      <c r="Z49" s="351"/>
      <c r="AA49" s="351">
        <v>0</v>
      </c>
      <c r="AB49" s="351">
        <v>0</v>
      </c>
      <c r="AC49" s="351">
        <v>0</v>
      </c>
      <c r="AD49" s="351">
        <v>0</v>
      </c>
      <c r="AE49" s="351">
        <v>0</v>
      </c>
      <c r="AF49" s="351">
        <v>0</v>
      </c>
      <c r="AG49" s="351">
        <v>0</v>
      </c>
      <c r="AH49" s="351"/>
      <c r="AI49" s="351">
        <v>0</v>
      </c>
      <c r="AJ49" s="351">
        <v>0</v>
      </c>
      <c r="AK49" s="351">
        <v>0</v>
      </c>
      <c r="AL49" s="351">
        <v>0</v>
      </c>
      <c r="AM49" s="351">
        <v>0</v>
      </c>
      <c r="AN49" s="351">
        <v>0</v>
      </c>
      <c r="AO49" s="351">
        <v>0</v>
      </c>
      <c r="AP49" s="351"/>
      <c r="AQ49" s="351">
        <v>0</v>
      </c>
      <c r="AR49" s="351">
        <v>0</v>
      </c>
      <c r="AS49" s="351">
        <v>0</v>
      </c>
      <c r="AT49" s="351">
        <v>0</v>
      </c>
      <c r="AU49" s="351">
        <v>0</v>
      </c>
      <c r="AV49" s="351">
        <v>0</v>
      </c>
      <c r="AW49" s="351">
        <v>0</v>
      </c>
      <c r="AX49" s="351"/>
      <c r="AY49" s="351">
        <v>0</v>
      </c>
      <c r="AZ49" s="351">
        <v>0</v>
      </c>
      <c r="BA49" s="351">
        <v>0</v>
      </c>
      <c r="BB49" s="351">
        <v>0</v>
      </c>
      <c r="BC49" s="351">
        <v>0</v>
      </c>
      <c r="BD49" s="351">
        <v>0</v>
      </c>
      <c r="BE49" s="351">
        <v>0</v>
      </c>
      <c r="BF49" s="351"/>
      <c r="BG49" s="351">
        <v>0</v>
      </c>
      <c r="BH49" s="351">
        <v>0</v>
      </c>
      <c r="BI49" s="351">
        <v>0</v>
      </c>
      <c r="BJ49" s="351">
        <v>0</v>
      </c>
      <c r="BK49" s="351">
        <v>0</v>
      </c>
      <c r="BL49" s="351">
        <v>0</v>
      </c>
      <c r="BM49" s="351">
        <v>0</v>
      </c>
      <c r="BN49" s="351"/>
      <c r="BO49" s="351">
        <v>0</v>
      </c>
      <c r="BP49" s="351">
        <v>0</v>
      </c>
      <c r="BQ49" s="351">
        <v>0</v>
      </c>
      <c r="BR49" s="351">
        <v>0</v>
      </c>
      <c r="BS49" s="351">
        <v>0</v>
      </c>
      <c r="BT49" s="351"/>
      <c r="BU49" s="351">
        <v>0</v>
      </c>
      <c r="BV49" s="351"/>
      <c r="BW49" s="351">
        <v>0</v>
      </c>
      <c r="BX49" s="351"/>
      <c r="BY49" s="351"/>
      <c r="BZ49" s="351"/>
      <c r="CA49" s="351"/>
      <c r="CB49" s="351"/>
      <c r="CC49" s="351"/>
      <c r="CD49" s="351"/>
      <c r="CE49" s="351"/>
      <c r="CF49" s="393">
        <f>D49</f>
        <v>0</v>
      </c>
      <c r="CG49" s="393">
        <f t="shared" ref="CG49:CM49" si="220">E49</f>
        <v>0</v>
      </c>
      <c r="CH49" s="393">
        <f t="shared" si="220"/>
        <v>2.0659999999999998</v>
      </c>
      <c r="CI49" s="393">
        <f t="shared" si="220"/>
        <v>0</v>
      </c>
      <c r="CJ49" s="393">
        <f t="shared" si="220"/>
        <v>0</v>
      </c>
      <c r="CK49" s="393">
        <f t="shared" si="220"/>
        <v>0.16</v>
      </c>
      <c r="CL49" s="393">
        <f t="shared" si="220"/>
        <v>0</v>
      </c>
      <c r="CM49" s="393">
        <f t="shared" si="220"/>
        <v>0</v>
      </c>
      <c r="CN49" s="351"/>
      <c r="CO49" s="351"/>
      <c r="CP49" s="351"/>
      <c r="CQ49" s="351"/>
      <c r="CR49" s="351"/>
      <c r="CS49" s="351"/>
      <c r="CT49" s="351"/>
      <c r="CU49" s="351"/>
      <c r="CV49" s="351">
        <v>0</v>
      </c>
      <c r="CW49" s="351">
        <v>0</v>
      </c>
      <c r="CX49" s="351">
        <v>0</v>
      </c>
      <c r="CY49" s="351">
        <v>0</v>
      </c>
      <c r="CZ49" s="351"/>
      <c r="DA49" s="351"/>
      <c r="DB49" s="351"/>
      <c r="DC49" s="351"/>
      <c r="DD49" s="351"/>
      <c r="DE49" s="351"/>
      <c r="DF49" s="351"/>
      <c r="DG49" s="351"/>
      <c r="DH49" s="351"/>
      <c r="DI49" s="351"/>
      <c r="DJ49" s="351"/>
      <c r="DK49" s="351">
        <v>0</v>
      </c>
      <c r="DL49" s="351">
        <f t="shared" si="204"/>
        <v>0</v>
      </c>
      <c r="DM49" s="351">
        <f t="shared" si="205"/>
        <v>0</v>
      </c>
      <c r="DN49" s="351">
        <f t="shared" si="206"/>
        <v>2.0659999999999998</v>
      </c>
      <c r="DO49" s="351">
        <f t="shared" si="207"/>
        <v>0</v>
      </c>
      <c r="DP49" s="351">
        <f t="shared" si="208"/>
        <v>0</v>
      </c>
      <c r="DQ49" s="351">
        <f t="shared" si="209"/>
        <v>0.16</v>
      </c>
      <c r="DR49" s="351">
        <f t="shared" si="210"/>
        <v>0</v>
      </c>
      <c r="DS49" s="351">
        <f t="shared" si="211"/>
        <v>0</v>
      </c>
      <c r="DT49" s="351">
        <f t="shared" ref="DT49" si="221">AR49+BH49+DD49</f>
        <v>0</v>
      </c>
      <c r="DU49" s="351">
        <f t="shared" ref="DU49" si="222">AS49+BI49+DE49</f>
        <v>0</v>
      </c>
      <c r="DV49" s="351">
        <f t="shared" si="201"/>
        <v>0</v>
      </c>
      <c r="DW49" s="351">
        <f t="shared" ref="DW49" si="223">AU49+BK49+DG49</f>
        <v>0</v>
      </c>
      <c r="DX49" s="351">
        <f t="shared" ref="DX49" si="224">AV49+BL49+DH49</f>
        <v>0</v>
      </c>
      <c r="DY49" s="351">
        <f t="shared" ref="DY49" si="225">AW49+BM49+DI49</f>
        <v>0</v>
      </c>
      <c r="DZ49" s="351"/>
      <c r="EA49" s="351">
        <f t="shared" ref="EA49" si="226">AY49+BO49+DK49</f>
        <v>0</v>
      </c>
      <c r="EB49" s="370"/>
    </row>
    <row r="50" spans="1:132" s="200" customFormat="1" ht="31.5" hidden="1" x14ac:dyDescent="0.25">
      <c r="A50" s="197" t="s">
        <v>114</v>
      </c>
      <c r="B50" s="11" t="s">
        <v>115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</row>
    <row r="51" spans="1:132" s="196" customFormat="1" ht="31.5" x14ac:dyDescent="0.25">
      <c r="A51" s="194" t="s">
        <v>116</v>
      </c>
      <c r="B51" s="65" t="s">
        <v>117</v>
      </c>
      <c r="C51" s="195">
        <v>0</v>
      </c>
      <c r="D51" s="195">
        <f>D52</f>
        <v>0</v>
      </c>
      <c r="E51" s="195">
        <f t="shared" ref="E51:CV51" si="227">E52</f>
        <v>0</v>
      </c>
      <c r="F51" s="195">
        <f t="shared" si="227"/>
        <v>0</v>
      </c>
      <c r="G51" s="195">
        <f t="shared" si="227"/>
        <v>0</v>
      </c>
      <c r="H51" s="195">
        <f t="shared" si="227"/>
        <v>0</v>
      </c>
      <c r="I51" s="195">
        <f t="shared" si="227"/>
        <v>0</v>
      </c>
      <c r="J51" s="318">
        <f t="shared" si="227"/>
        <v>1219</v>
      </c>
      <c r="K51" s="195">
        <f t="shared" si="227"/>
        <v>0</v>
      </c>
      <c r="L51" s="195">
        <f t="shared" si="227"/>
        <v>0</v>
      </c>
      <c r="M51" s="195">
        <f t="shared" si="227"/>
        <v>0</v>
      </c>
      <c r="N51" s="195">
        <f t="shared" si="227"/>
        <v>0</v>
      </c>
      <c r="O51" s="195">
        <f t="shared" si="227"/>
        <v>0</v>
      </c>
      <c r="P51" s="195">
        <f t="shared" si="227"/>
        <v>0</v>
      </c>
      <c r="Q51" s="195">
        <f t="shared" si="227"/>
        <v>0</v>
      </c>
      <c r="R51" s="195">
        <f t="shared" si="227"/>
        <v>0</v>
      </c>
      <c r="S51" s="195">
        <f t="shared" si="227"/>
        <v>0</v>
      </c>
      <c r="T51" s="195">
        <f t="shared" si="227"/>
        <v>0</v>
      </c>
      <c r="U51" s="195">
        <f t="shared" si="227"/>
        <v>0</v>
      </c>
      <c r="V51" s="195">
        <f t="shared" si="227"/>
        <v>0</v>
      </c>
      <c r="W51" s="195">
        <f t="shared" si="227"/>
        <v>0</v>
      </c>
      <c r="X51" s="195">
        <f t="shared" si="227"/>
        <v>0</v>
      </c>
      <c r="Y51" s="195">
        <f t="shared" si="227"/>
        <v>0</v>
      </c>
      <c r="Z51" s="195">
        <f t="shared" si="227"/>
        <v>0</v>
      </c>
      <c r="AA51" s="195">
        <f t="shared" si="227"/>
        <v>0</v>
      </c>
      <c r="AB51" s="195">
        <f t="shared" si="227"/>
        <v>0</v>
      </c>
      <c r="AC51" s="195">
        <f t="shared" si="227"/>
        <v>0</v>
      </c>
      <c r="AD51" s="195">
        <f t="shared" si="227"/>
        <v>0</v>
      </c>
      <c r="AE51" s="195">
        <f t="shared" si="227"/>
        <v>0</v>
      </c>
      <c r="AF51" s="195">
        <f t="shared" si="227"/>
        <v>0</v>
      </c>
      <c r="AG51" s="195">
        <f t="shared" si="227"/>
        <v>0</v>
      </c>
      <c r="AH51" s="195">
        <f t="shared" si="227"/>
        <v>0</v>
      </c>
      <c r="AI51" s="195">
        <f t="shared" si="227"/>
        <v>0</v>
      </c>
      <c r="AJ51" s="195">
        <f t="shared" si="227"/>
        <v>0</v>
      </c>
      <c r="AK51" s="195">
        <f t="shared" si="227"/>
        <v>0</v>
      </c>
      <c r="AL51" s="195">
        <f t="shared" si="227"/>
        <v>0</v>
      </c>
      <c r="AM51" s="195">
        <f t="shared" si="227"/>
        <v>0</v>
      </c>
      <c r="AN51" s="195">
        <f t="shared" si="227"/>
        <v>0</v>
      </c>
      <c r="AO51" s="195">
        <f t="shared" si="227"/>
        <v>0</v>
      </c>
      <c r="AP51" s="318">
        <f t="shared" si="227"/>
        <v>347</v>
      </c>
      <c r="AQ51" s="195">
        <f t="shared" si="227"/>
        <v>0</v>
      </c>
      <c r="AR51" s="195">
        <f t="shared" si="227"/>
        <v>0</v>
      </c>
      <c r="AS51" s="195">
        <f t="shared" si="227"/>
        <v>0</v>
      </c>
      <c r="AT51" s="195">
        <f t="shared" si="227"/>
        <v>0</v>
      </c>
      <c r="AU51" s="195">
        <f t="shared" si="227"/>
        <v>0</v>
      </c>
      <c r="AV51" s="195">
        <f t="shared" si="227"/>
        <v>0</v>
      </c>
      <c r="AW51" s="195">
        <f t="shared" si="227"/>
        <v>0</v>
      </c>
      <c r="AX51" s="195">
        <f t="shared" si="227"/>
        <v>0</v>
      </c>
      <c r="AY51" s="195">
        <f t="shared" si="227"/>
        <v>0</v>
      </c>
      <c r="AZ51" s="195">
        <f t="shared" si="227"/>
        <v>0</v>
      </c>
      <c r="BA51" s="195">
        <f t="shared" si="227"/>
        <v>0</v>
      </c>
      <c r="BB51" s="195">
        <f t="shared" si="227"/>
        <v>0</v>
      </c>
      <c r="BC51" s="195">
        <f t="shared" si="227"/>
        <v>0</v>
      </c>
      <c r="BD51" s="195">
        <f t="shared" si="227"/>
        <v>0</v>
      </c>
      <c r="BE51" s="195">
        <f t="shared" si="227"/>
        <v>0</v>
      </c>
      <c r="BF51" s="318">
        <f t="shared" si="227"/>
        <v>287</v>
      </c>
      <c r="BG51" s="195">
        <f t="shared" si="227"/>
        <v>0</v>
      </c>
      <c r="BH51" s="195">
        <f t="shared" si="227"/>
        <v>0</v>
      </c>
      <c r="BI51" s="195">
        <f t="shared" si="227"/>
        <v>0</v>
      </c>
      <c r="BJ51" s="195">
        <f t="shared" si="227"/>
        <v>0</v>
      </c>
      <c r="BK51" s="195">
        <f t="shared" si="227"/>
        <v>0</v>
      </c>
      <c r="BL51" s="195">
        <f t="shared" si="227"/>
        <v>0</v>
      </c>
      <c r="BM51" s="195">
        <f t="shared" si="227"/>
        <v>0</v>
      </c>
      <c r="BN51" s="195">
        <f t="shared" si="227"/>
        <v>0</v>
      </c>
      <c r="BO51" s="195">
        <f t="shared" si="227"/>
        <v>0</v>
      </c>
      <c r="BP51" s="195">
        <f t="shared" ref="BP51" si="228">BP52</f>
        <v>0</v>
      </c>
      <c r="BQ51" s="195">
        <f t="shared" ref="BQ51" si="229">BQ52</f>
        <v>0</v>
      </c>
      <c r="BR51" s="195">
        <f t="shared" ref="BR51" si="230">BR52</f>
        <v>0</v>
      </c>
      <c r="BS51" s="195">
        <f t="shared" ref="BS51" si="231">BS52</f>
        <v>0</v>
      </c>
      <c r="BT51" s="195">
        <f t="shared" ref="BT51" si="232">BT52</f>
        <v>0</v>
      </c>
      <c r="BU51" s="195">
        <f t="shared" ref="BU51" si="233">BU52</f>
        <v>0</v>
      </c>
      <c r="BV51" s="332">
        <f t="shared" ref="BV51" si="234">BV52</f>
        <v>171</v>
      </c>
      <c r="BW51" s="195">
        <f t="shared" ref="BW51" si="235">BW52</f>
        <v>0</v>
      </c>
      <c r="BX51" s="195">
        <f t="shared" ref="BX51" si="236">BX52</f>
        <v>0</v>
      </c>
      <c r="BY51" s="195">
        <f t="shared" ref="BY51" si="237">BY52</f>
        <v>0</v>
      </c>
      <c r="BZ51" s="195">
        <f t="shared" ref="BZ51" si="238">BZ52</f>
        <v>0</v>
      </c>
      <c r="CA51" s="195">
        <f t="shared" ref="CA51" si="239">CA52</f>
        <v>0</v>
      </c>
      <c r="CB51" s="195">
        <f t="shared" ref="CB51" si="240">CB52</f>
        <v>0</v>
      </c>
      <c r="CC51" s="195">
        <f t="shared" ref="CC51" si="241">CC52</f>
        <v>0</v>
      </c>
      <c r="CD51" s="195">
        <f t="shared" ref="CD51" si="242">CD52</f>
        <v>0</v>
      </c>
      <c r="CE51" s="195">
        <f t="shared" ref="CE51" si="243">CE52</f>
        <v>0</v>
      </c>
      <c r="CF51" s="195">
        <f t="shared" ref="CF51" si="244">CF52</f>
        <v>0</v>
      </c>
      <c r="CG51" s="195">
        <f t="shared" ref="CG51" si="245">CG52</f>
        <v>0</v>
      </c>
      <c r="CH51" s="195">
        <f t="shared" ref="CH51" si="246">CH52</f>
        <v>0</v>
      </c>
      <c r="CI51" s="195">
        <f t="shared" ref="CI51" si="247">CI52</f>
        <v>0</v>
      </c>
      <c r="CJ51" s="195">
        <f t="shared" ref="CJ51" si="248">CJ52</f>
        <v>0</v>
      </c>
      <c r="CK51" s="195">
        <f t="shared" ref="CK51" si="249">CK52</f>
        <v>0</v>
      </c>
      <c r="CL51" s="318">
        <f t="shared" ref="CL51" si="250">CL52</f>
        <v>201</v>
      </c>
      <c r="CM51" s="195">
        <f t="shared" ref="CM51" si="251">CM52</f>
        <v>0</v>
      </c>
      <c r="CN51" s="195">
        <f t="shared" ref="CN51" si="252">CN52</f>
        <v>0</v>
      </c>
      <c r="CO51" s="195">
        <f t="shared" ref="CO51" si="253">CO52</f>
        <v>0</v>
      </c>
      <c r="CP51" s="195">
        <f t="shared" ref="CP51" si="254">CP52</f>
        <v>0</v>
      </c>
      <c r="CQ51" s="195">
        <f t="shared" ref="CQ51" si="255">CQ52</f>
        <v>0</v>
      </c>
      <c r="CR51" s="195">
        <f t="shared" ref="CR51" si="256">CR52</f>
        <v>0</v>
      </c>
      <c r="CS51" s="195">
        <f t="shared" ref="CS51" si="257">CS52</f>
        <v>0</v>
      </c>
      <c r="CT51" s="195">
        <f t="shared" ref="CT51" si="258">CT52</f>
        <v>0</v>
      </c>
      <c r="CU51" s="195">
        <f t="shared" ref="CU51" si="259">CU52</f>
        <v>0</v>
      </c>
      <c r="CV51" s="195">
        <f t="shared" si="227"/>
        <v>0</v>
      </c>
      <c r="CW51" s="195">
        <f t="shared" ref="CW51:EB51" si="260">CW52</f>
        <v>0</v>
      </c>
      <c r="CX51" s="195">
        <f t="shared" si="260"/>
        <v>0</v>
      </c>
      <c r="CY51" s="195">
        <f t="shared" si="260"/>
        <v>0</v>
      </c>
      <c r="CZ51" s="195">
        <f t="shared" si="260"/>
        <v>0</v>
      </c>
      <c r="DA51" s="195">
        <f t="shared" si="260"/>
        <v>0</v>
      </c>
      <c r="DB51" s="318">
        <f t="shared" si="260"/>
        <v>213</v>
      </c>
      <c r="DC51" s="195">
        <f t="shared" si="260"/>
        <v>0</v>
      </c>
      <c r="DD51" s="195">
        <f t="shared" si="260"/>
        <v>0</v>
      </c>
      <c r="DE51" s="195">
        <f t="shared" si="260"/>
        <v>0</v>
      </c>
      <c r="DF51" s="195">
        <f t="shared" si="260"/>
        <v>0</v>
      </c>
      <c r="DG51" s="195">
        <f t="shared" si="260"/>
        <v>0</v>
      </c>
      <c r="DH51" s="195">
        <f t="shared" si="260"/>
        <v>0</v>
      </c>
      <c r="DI51" s="195">
        <f t="shared" si="260"/>
        <v>0</v>
      </c>
      <c r="DJ51" s="195">
        <f t="shared" si="260"/>
        <v>0</v>
      </c>
      <c r="DK51" s="195">
        <f t="shared" si="260"/>
        <v>0</v>
      </c>
      <c r="DL51" s="195">
        <f t="shared" si="260"/>
        <v>0</v>
      </c>
      <c r="DM51" s="195">
        <f t="shared" si="260"/>
        <v>0</v>
      </c>
      <c r="DN51" s="195">
        <f t="shared" si="260"/>
        <v>0</v>
      </c>
      <c r="DO51" s="195">
        <f t="shared" si="260"/>
        <v>0</v>
      </c>
      <c r="DP51" s="195">
        <f t="shared" si="260"/>
        <v>0</v>
      </c>
      <c r="DQ51" s="195">
        <f t="shared" si="260"/>
        <v>0</v>
      </c>
      <c r="DR51" s="318">
        <f t="shared" si="260"/>
        <v>1219</v>
      </c>
      <c r="DS51" s="195">
        <f t="shared" si="260"/>
        <v>0</v>
      </c>
      <c r="DT51" s="195">
        <f t="shared" si="260"/>
        <v>0</v>
      </c>
      <c r="DU51" s="195">
        <f t="shared" si="260"/>
        <v>0</v>
      </c>
      <c r="DV51" s="195">
        <f t="shared" si="260"/>
        <v>0</v>
      </c>
      <c r="DW51" s="195">
        <f t="shared" si="260"/>
        <v>0</v>
      </c>
      <c r="DX51" s="195">
        <f t="shared" si="260"/>
        <v>0</v>
      </c>
      <c r="DY51" s="195">
        <f t="shared" si="260"/>
        <v>0</v>
      </c>
      <c r="DZ51" s="195">
        <f t="shared" si="260"/>
        <v>0</v>
      </c>
      <c r="EA51" s="195">
        <f t="shared" si="260"/>
        <v>0</v>
      </c>
      <c r="EB51" s="195">
        <f t="shared" si="260"/>
        <v>0</v>
      </c>
    </row>
    <row r="52" spans="1:132" s="200" customFormat="1" ht="31.5" outlineLevel="1" x14ac:dyDescent="0.25">
      <c r="A52" s="197" t="s">
        <v>118</v>
      </c>
      <c r="B52" s="11" t="s">
        <v>119</v>
      </c>
      <c r="C52" s="198"/>
      <c r="D52" s="333">
        <f>SUM(D53:D57)</f>
        <v>0</v>
      </c>
      <c r="E52" s="333">
        <f t="shared" ref="E52:CV52" si="261">SUM(E53:E57)</f>
        <v>0</v>
      </c>
      <c r="F52" s="333">
        <f t="shared" si="261"/>
        <v>0</v>
      </c>
      <c r="G52" s="333">
        <f t="shared" si="261"/>
        <v>0</v>
      </c>
      <c r="H52" s="333">
        <f t="shared" si="261"/>
        <v>0</v>
      </c>
      <c r="I52" s="333">
        <f t="shared" si="261"/>
        <v>0</v>
      </c>
      <c r="J52" s="333">
        <f t="shared" si="261"/>
        <v>1219</v>
      </c>
      <c r="K52" s="333">
        <f t="shared" si="261"/>
        <v>0</v>
      </c>
      <c r="L52" s="333">
        <f t="shared" si="261"/>
        <v>0</v>
      </c>
      <c r="M52" s="333">
        <f t="shared" si="261"/>
        <v>0</v>
      </c>
      <c r="N52" s="333">
        <f t="shared" si="261"/>
        <v>0</v>
      </c>
      <c r="O52" s="333">
        <f t="shared" si="261"/>
        <v>0</v>
      </c>
      <c r="P52" s="333">
        <f t="shared" si="261"/>
        <v>0</v>
      </c>
      <c r="Q52" s="333">
        <f t="shared" si="261"/>
        <v>0</v>
      </c>
      <c r="R52" s="333">
        <f t="shared" si="261"/>
        <v>0</v>
      </c>
      <c r="S52" s="333">
        <f t="shared" si="261"/>
        <v>0</v>
      </c>
      <c r="T52" s="333">
        <f t="shared" si="261"/>
        <v>0</v>
      </c>
      <c r="U52" s="333">
        <f t="shared" si="261"/>
        <v>0</v>
      </c>
      <c r="V52" s="333">
        <f t="shared" si="261"/>
        <v>0</v>
      </c>
      <c r="W52" s="333">
        <f t="shared" si="261"/>
        <v>0</v>
      </c>
      <c r="X52" s="333">
        <f t="shared" si="261"/>
        <v>0</v>
      </c>
      <c r="Y52" s="333">
        <f t="shared" si="261"/>
        <v>0</v>
      </c>
      <c r="Z52" s="333">
        <f t="shared" si="261"/>
        <v>0</v>
      </c>
      <c r="AA52" s="333">
        <f t="shared" si="261"/>
        <v>0</v>
      </c>
      <c r="AB52" s="333">
        <f t="shared" si="261"/>
        <v>0</v>
      </c>
      <c r="AC52" s="333">
        <f t="shared" si="261"/>
        <v>0</v>
      </c>
      <c r="AD52" s="333">
        <f t="shared" si="261"/>
        <v>0</v>
      </c>
      <c r="AE52" s="333">
        <f t="shared" si="261"/>
        <v>0</v>
      </c>
      <c r="AF52" s="333">
        <f t="shared" si="261"/>
        <v>0</v>
      </c>
      <c r="AG52" s="333">
        <f t="shared" si="261"/>
        <v>0</v>
      </c>
      <c r="AH52" s="333">
        <f t="shared" si="261"/>
        <v>0</v>
      </c>
      <c r="AI52" s="333">
        <f t="shared" si="261"/>
        <v>0</v>
      </c>
      <c r="AJ52" s="333">
        <f t="shared" si="261"/>
        <v>0</v>
      </c>
      <c r="AK52" s="333">
        <f t="shared" si="261"/>
        <v>0</v>
      </c>
      <c r="AL52" s="333">
        <f t="shared" si="261"/>
        <v>0</v>
      </c>
      <c r="AM52" s="333">
        <f t="shared" si="261"/>
        <v>0</v>
      </c>
      <c r="AN52" s="333">
        <f t="shared" si="261"/>
        <v>0</v>
      </c>
      <c r="AO52" s="333">
        <f t="shared" si="261"/>
        <v>0</v>
      </c>
      <c r="AP52" s="319">
        <f t="shared" si="261"/>
        <v>347</v>
      </c>
      <c r="AQ52" s="333">
        <f t="shared" si="261"/>
        <v>0</v>
      </c>
      <c r="AR52" s="333">
        <f t="shared" si="261"/>
        <v>0</v>
      </c>
      <c r="AS52" s="333">
        <f t="shared" si="261"/>
        <v>0</v>
      </c>
      <c r="AT52" s="333">
        <f t="shared" si="261"/>
        <v>0</v>
      </c>
      <c r="AU52" s="333">
        <f t="shared" si="261"/>
        <v>0</v>
      </c>
      <c r="AV52" s="333">
        <f t="shared" si="261"/>
        <v>0</v>
      </c>
      <c r="AW52" s="333">
        <f t="shared" si="261"/>
        <v>0</v>
      </c>
      <c r="AX52" s="333">
        <f t="shared" si="261"/>
        <v>0</v>
      </c>
      <c r="AY52" s="333">
        <f t="shared" si="261"/>
        <v>0</v>
      </c>
      <c r="AZ52" s="333">
        <f t="shared" si="261"/>
        <v>0</v>
      </c>
      <c r="BA52" s="333">
        <f t="shared" si="261"/>
        <v>0</v>
      </c>
      <c r="BB52" s="333">
        <f t="shared" si="261"/>
        <v>0</v>
      </c>
      <c r="BC52" s="333">
        <f t="shared" si="261"/>
        <v>0</v>
      </c>
      <c r="BD52" s="333">
        <f t="shared" si="261"/>
        <v>0</v>
      </c>
      <c r="BE52" s="333">
        <f t="shared" si="261"/>
        <v>0</v>
      </c>
      <c r="BF52" s="333">
        <f t="shared" si="261"/>
        <v>287</v>
      </c>
      <c r="BG52" s="333">
        <f t="shared" si="261"/>
        <v>0</v>
      </c>
      <c r="BH52" s="333">
        <f t="shared" si="261"/>
        <v>0</v>
      </c>
      <c r="BI52" s="333">
        <f t="shared" si="261"/>
        <v>0</v>
      </c>
      <c r="BJ52" s="333">
        <f t="shared" si="261"/>
        <v>0</v>
      </c>
      <c r="BK52" s="333">
        <f t="shared" si="261"/>
        <v>0</v>
      </c>
      <c r="BL52" s="333">
        <f t="shared" si="261"/>
        <v>0</v>
      </c>
      <c r="BM52" s="333">
        <f t="shared" si="261"/>
        <v>0</v>
      </c>
      <c r="BN52" s="333">
        <f t="shared" si="261"/>
        <v>0</v>
      </c>
      <c r="BO52" s="333">
        <f t="shared" si="261"/>
        <v>0</v>
      </c>
      <c r="BP52" s="333">
        <f t="shared" ref="BP52" si="262">SUM(BP53:BP57)</f>
        <v>0</v>
      </c>
      <c r="BQ52" s="333">
        <f t="shared" ref="BQ52" si="263">SUM(BQ53:BQ57)</f>
        <v>0</v>
      </c>
      <c r="BR52" s="333">
        <f t="shared" ref="BR52" si="264">SUM(BR53:BR57)</f>
        <v>0</v>
      </c>
      <c r="BS52" s="333">
        <f t="shared" ref="BS52" si="265">SUM(BS53:BS57)</f>
        <v>0</v>
      </c>
      <c r="BT52" s="333">
        <f t="shared" ref="BT52" si="266">SUM(BT53:BT57)</f>
        <v>0</v>
      </c>
      <c r="BU52" s="333">
        <f t="shared" ref="BU52" si="267">SUM(BU53:BU57)</f>
        <v>0</v>
      </c>
      <c r="BV52" s="333">
        <f t="shared" ref="BV52" si="268">SUM(BV53:BV57)</f>
        <v>171</v>
      </c>
      <c r="BW52" s="333">
        <f t="shared" ref="BW52" si="269">SUM(BW53:BW57)</f>
        <v>0</v>
      </c>
      <c r="BX52" s="333">
        <f t="shared" ref="BX52" si="270">SUM(BX53:BX57)</f>
        <v>0</v>
      </c>
      <c r="BY52" s="333">
        <f t="shared" ref="BY52" si="271">SUM(BY53:BY57)</f>
        <v>0</v>
      </c>
      <c r="BZ52" s="333">
        <f t="shared" ref="BZ52" si="272">SUM(BZ53:BZ57)</f>
        <v>0</v>
      </c>
      <c r="CA52" s="333">
        <f t="shared" ref="CA52" si="273">SUM(CA53:CA57)</f>
        <v>0</v>
      </c>
      <c r="CB52" s="333">
        <f t="shared" ref="CB52" si="274">SUM(CB53:CB57)</f>
        <v>0</v>
      </c>
      <c r="CC52" s="333">
        <f t="shared" ref="CC52" si="275">SUM(CC53:CC57)</f>
        <v>0</v>
      </c>
      <c r="CD52" s="333">
        <f t="shared" ref="CD52" si="276">SUM(CD53:CD57)</f>
        <v>0</v>
      </c>
      <c r="CE52" s="333">
        <f t="shared" ref="CE52" si="277">SUM(CE53:CE57)</f>
        <v>0</v>
      </c>
      <c r="CF52" s="333">
        <f t="shared" ref="CF52" si="278">SUM(CF53:CF57)</f>
        <v>0</v>
      </c>
      <c r="CG52" s="333">
        <f t="shared" ref="CG52" si="279">SUM(CG53:CG57)</f>
        <v>0</v>
      </c>
      <c r="CH52" s="333">
        <f t="shared" ref="CH52" si="280">SUM(CH53:CH57)</f>
        <v>0</v>
      </c>
      <c r="CI52" s="333">
        <f t="shared" ref="CI52" si="281">SUM(CI53:CI57)</f>
        <v>0</v>
      </c>
      <c r="CJ52" s="333">
        <f t="shared" ref="CJ52" si="282">SUM(CJ53:CJ57)</f>
        <v>0</v>
      </c>
      <c r="CK52" s="333">
        <f t="shared" ref="CK52" si="283">SUM(CK53:CK57)</f>
        <v>0</v>
      </c>
      <c r="CL52" s="319">
        <f t="shared" ref="CL52" si="284">SUM(CL53:CL57)</f>
        <v>201</v>
      </c>
      <c r="CM52" s="333">
        <f t="shared" ref="CM52" si="285">SUM(CM53:CM57)</f>
        <v>0</v>
      </c>
      <c r="CN52" s="333">
        <f t="shared" ref="CN52" si="286">SUM(CN53:CN57)</f>
        <v>0</v>
      </c>
      <c r="CO52" s="333">
        <f t="shared" ref="CO52" si="287">SUM(CO53:CO57)</f>
        <v>0</v>
      </c>
      <c r="CP52" s="333">
        <f t="shared" ref="CP52" si="288">SUM(CP53:CP57)</f>
        <v>0</v>
      </c>
      <c r="CQ52" s="333">
        <f t="shared" ref="CQ52" si="289">SUM(CQ53:CQ57)</f>
        <v>0</v>
      </c>
      <c r="CR52" s="333">
        <f t="shared" ref="CR52" si="290">SUM(CR53:CR57)</f>
        <v>0</v>
      </c>
      <c r="CS52" s="333">
        <f t="shared" ref="CS52" si="291">SUM(CS53:CS57)</f>
        <v>0</v>
      </c>
      <c r="CT52" s="333">
        <f t="shared" ref="CT52" si="292">SUM(CT53:CT57)</f>
        <v>0</v>
      </c>
      <c r="CU52" s="333">
        <f t="shared" ref="CU52" si="293">SUM(CU53:CU57)</f>
        <v>0</v>
      </c>
      <c r="CV52" s="333">
        <f t="shared" si="261"/>
        <v>0</v>
      </c>
      <c r="CW52" s="333">
        <f t="shared" ref="CW52:EA52" si="294">SUM(CW53:CW57)</f>
        <v>0</v>
      </c>
      <c r="CX52" s="333">
        <f t="shared" si="294"/>
        <v>0</v>
      </c>
      <c r="CY52" s="333">
        <f t="shared" si="294"/>
        <v>0</v>
      </c>
      <c r="CZ52" s="333">
        <f t="shared" si="294"/>
        <v>0</v>
      </c>
      <c r="DA52" s="333">
        <f t="shared" si="294"/>
        <v>0</v>
      </c>
      <c r="DB52" s="319">
        <f t="shared" si="294"/>
        <v>213</v>
      </c>
      <c r="DC52" s="333">
        <f t="shared" si="294"/>
        <v>0</v>
      </c>
      <c r="DD52" s="333">
        <f t="shared" si="294"/>
        <v>0</v>
      </c>
      <c r="DE52" s="333">
        <f t="shared" si="294"/>
        <v>0</v>
      </c>
      <c r="DF52" s="333">
        <f t="shared" si="294"/>
        <v>0</v>
      </c>
      <c r="DG52" s="333">
        <f t="shared" si="294"/>
        <v>0</v>
      </c>
      <c r="DH52" s="333">
        <f t="shared" si="294"/>
        <v>0</v>
      </c>
      <c r="DI52" s="333">
        <f t="shared" si="294"/>
        <v>0</v>
      </c>
      <c r="DJ52" s="333">
        <f t="shared" si="294"/>
        <v>0</v>
      </c>
      <c r="DK52" s="333">
        <f t="shared" si="294"/>
        <v>0</v>
      </c>
      <c r="DL52" s="333">
        <f t="shared" si="294"/>
        <v>0</v>
      </c>
      <c r="DM52" s="333">
        <f t="shared" si="294"/>
        <v>0</v>
      </c>
      <c r="DN52" s="333">
        <f t="shared" si="294"/>
        <v>0</v>
      </c>
      <c r="DO52" s="333">
        <f t="shared" si="294"/>
        <v>0</v>
      </c>
      <c r="DP52" s="333">
        <f t="shared" si="294"/>
        <v>0</v>
      </c>
      <c r="DQ52" s="333">
        <f t="shared" si="294"/>
        <v>0</v>
      </c>
      <c r="DR52" s="319">
        <f t="shared" si="294"/>
        <v>1219</v>
      </c>
      <c r="DS52" s="333">
        <f t="shared" si="294"/>
        <v>0</v>
      </c>
      <c r="DT52" s="333">
        <f t="shared" si="294"/>
        <v>0</v>
      </c>
      <c r="DU52" s="333">
        <f t="shared" si="294"/>
        <v>0</v>
      </c>
      <c r="DV52" s="333">
        <f t="shared" si="294"/>
        <v>0</v>
      </c>
      <c r="DW52" s="333">
        <f t="shared" si="294"/>
        <v>0</v>
      </c>
      <c r="DX52" s="333">
        <f t="shared" si="294"/>
        <v>0</v>
      </c>
      <c r="DY52" s="333">
        <f t="shared" si="294"/>
        <v>0</v>
      </c>
      <c r="DZ52" s="333">
        <f t="shared" si="294"/>
        <v>0</v>
      </c>
      <c r="EA52" s="333">
        <f t="shared" si="294"/>
        <v>0</v>
      </c>
      <c r="EB52" s="212"/>
    </row>
    <row r="53" spans="1:132" s="200" customFormat="1" outlineLevel="1" x14ac:dyDescent="0.25">
      <c r="A53" s="14" t="s">
        <v>701</v>
      </c>
      <c r="B53" s="421" t="s">
        <v>706</v>
      </c>
      <c r="C53" s="390" t="s">
        <v>728</v>
      </c>
      <c r="D53" s="198"/>
      <c r="E53" s="198"/>
      <c r="F53" s="198"/>
      <c r="G53" s="198"/>
      <c r="H53" s="198"/>
      <c r="I53" s="198"/>
      <c r="J53" s="319">
        <v>347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393">
        <f>D53</f>
        <v>0</v>
      </c>
      <c r="AK53" s="393">
        <f t="shared" ref="AK53:AQ53" si="295">E53</f>
        <v>0</v>
      </c>
      <c r="AL53" s="393">
        <f t="shared" si="295"/>
        <v>0</v>
      </c>
      <c r="AM53" s="393">
        <f t="shared" si="295"/>
        <v>0</v>
      </c>
      <c r="AN53" s="393">
        <f t="shared" si="295"/>
        <v>0</v>
      </c>
      <c r="AO53" s="393">
        <f t="shared" si="295"/>
        <v>0</v>
      </c>
      <c r="AP53" s="462">
        <f t="shared" si="295"/>
        <v>347</v>
      </c>
      <c r="AQ53" s="393">
        <f t="shared" si="295"/>
        <v>0</v>
      </c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212"/>
      <c r="BH53" s="212"/>
      <c r="BI53" s="212"/>
      <c r="BJ53" s="212"/>
      <c r="BK53" s="212"/>
      <c r="BL53" s="212"/>
      <c r="BM53" s="212"/>
      <c r="BN53" s="333"/>
      <c r="BO53" s="212"/>
      <c r="BP53" s="212"/>
      <c r="BQ53" s="212"/>
      <c r="BR53" s="212"/>
      <c r="BS53" s="212"/>
      <c r="BT53" s="212"/>
      <c r="BU53" s="212"/>
      <c r="BV53" s="333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319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319"/>
      <c r="DC53" s="212"/>
      <c r="DD53" s="212"/>
      <c r="DE53" s="212"/>
      <c r="DF53" s="212"/>
      <c r="DG53" s="212"/>
      <c r="DH53" s="212"/>
      <c r="DI53" s="212"/>
      <c r="DJ53" s="212"/>
      <c r="DK53" s="212"/>
      <c r="DL53" s="198">
        <f>D53</f>
        <v>0</v>
      </c>
      <c r="DM53" s="198">
        <f t="shared" ref="DM53:DS53" si="296">E53</f>
        <v>0</v>
      </c>
      <c r="DN53" s="198">
        <f t="shared" si="296"/>
        <v>0</v>
      </c>
      <c r="DO53" s="198">
        <f t="shared" si="296"/>
        <v>0</v>
      </c>
      <c r="DP53" s="198">
        <f t="shared" si="296"/>
        <v>0</v>
      </c>
      <c r="DQ53" s="198">
        <f t="shared" si="296"/>
        <v>0</v>
      </c>
      <c r="DR53" s="319">
        <f t="shared" si="296"/>
        <v>347</v>
      </c>
      <c r="DS53" s="198">
        <f t="shared" si="296"/>
        <v>0</v>
      </c>
      <c r="DT53" s="212"/>
      <c r="DU53" s="212"/>
      <c r="DV53" s="212"/>
      <c r="DW53" s="212"/>
      <c r="DX53" s="212"/>
      <c r="DY53" s="212"/>
      <c r="DZ53" s="319"/>
      <c r="EA53" s="212"/>
      <c r="EB53" s="212"/>
    </row>
    <row r="54" spans="1:132" s="200" customFormat="1" outlineLevel="1" x14ac:dyDescent="0.25">
      <c r="A54" s="14" t="s">
        <v>702</v>
      </c>
      <c r="B54" s="421" t="s">
        <v>706</v>
      </c>
      <c r="C54" s="390" t="s">
        <v>729</v>
      </c>
      <c r="D54" s="198"/>
      <c r="E54" s="198"/>
      <c r="F54" s="198"/>
      <c r="G54" s="198"/>
      <c r="H54" s="198"/>
      <c r="I54" s="198"/>
      <c r="J54" s="319">
        <v>287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393">
        <f>D54</f>
        <v>0</v>
      </c>
      <c r="BA54" s="393">
        <f t="shared" ref="BA54:BG54" si="297">E54</f>
        <v>0</v>
      </c>
      <c r="BB54" s="393">
        <f t="shared" si="297"/>
        <v>0</v>
      </c>
      <c r="BC54" s="393">
        <f t="shared" si="297"/>
        <v>0</v>
      </c>
      <c r="BD54" s="393">
        <f t="shared" si="297"/>
        <v>0</v>
      </c>
      <c r="BE54" s="393">
        <f t="shared" si="297"/>
        <v>0</v>
      </c>
      <c r="BF54" s="462">
        <f t="shared" si="297"/>
        <v>287</v>
      </c>
      <c r="BG54" s="393">
        <f t="shared" si="297"/>
        <v>0</v>
      </c>
      <c r="BH54" s="212"/>
      <c r="BI54" s="212"/>
      <c r="BJ54" s="212"/>
      <c r="BK54" s="212"/>
      <c r="BL54" s="212"/>
      <c r="BM54" s="212"/>
      <c r="BN54" s="333"/>
      <c r="BO54" s="212"/>
      <c r="BP54" s="212"/>
      <c r="BQ54" s="212"/>
      <c r="BR54" s="212"/>
      <c r="BS54" s="212"/>
      <c r="BT54" s="212"/>
      <c r="BU54" s="212"/>
      <c r="BV54" s="333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319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319"/>
      <c r="DC54" s="212"/>
      <c r="DD54" s="212"/>
      <c r="DE54" s="212"/>
      <c r="DF54" s="212"/>
      <c r="DG54" s="212"/>
      <c r="DH54" s="212"/>
      <c r="DI54" s="212"/>
      <c r="DJ54" s="212"/>
      <c r="DK54" s="212"/>
      <c r="DL54" s="198">
        <f t="shared" ref="DL54:DL57" si="298">D54</f>
        <v>0</v>
      </c>
      <c r="DM54" s="198">
        <f t="shared" ref="DM54:DM57" si="299">E54</f>
        <v>0</v>
      </c>
      <c r="DN54" s="198">
        <f t="shared" ref="DN54:DN57" si="300">F54</f>
        <v>0</v>
      </c>
      <c r="DO54" s="198">
        <f t="shared" ref="DO54:DO57" si="301">G54</f>
        <v>0</v>
      </c>
      <c r="DP54" s="198">
        <f t="shared" ref="DP54:DP57" si="302">H54</f>
        <v>0</v>
      </c>
      <c r="DQ54" s="198">
        <f t="shared" ref="DQ54:DQ57" si="303">I54</f>
        <v>0</v>
      </c>
      <c r="DR54" s="319">
        <f t="shared" ref="DR54:DR57" si="304">J54</f>
        <v>287</v>
      </c>
      <c r="DS54" s="198">
        <f t="shared" ref="DS54:DS57" si="305">K54</f>
        <v>0</v>
      </c>
      <c r="DT54" s="212"/>
      <c r="DU54" s="212"/>
      <c r="DV54" s="212"/>
      <c r="DW54" s="212"/>
      <c r="DX54" s="212"/>
      <c r="DY54" s="212"/>
      <c r="DZ54" s="319"/>
      <c r="EA54" s="212"/>
      <c r="EB54" s="212"/>
    </row>
    <row r="55" spans="1:132" s="200" customFormat="1" outlineLevel="1" x14ac:dyDescent="0.25">
      <c r="A55" s="14" t="s">
        <v>703</v>
      </c>
      <c r="B55" s="421" t="s">
        <v>706</v>
      </c>
      <c r="C55" s="390" t="s">
        <v>730</v>
      </c>
      <c r="D55" s="198"/>
      <c r="E55" s="198"/>
      <c r="F55" s="198"/>
      <c r="G55" s="198"/>
      <c r="H55" s="198"/>
      <c r="I55" s="198"/>
      <c r="J55" s="319">
        <v>171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212"/>
      <c r="BH55" s="212"/>
      <c r="BI55" s="212"/>
      <c r="BJ55" s="212"/>
      <c r="BK55" s="212"/>
      <c r="BL55" s="212"/>
      <c r="BM55" s="212"/>
      <c r="BN55" s="333"/>
      <c r="BO55" s="212"/>
      <c r="BP55" s="393">
        <f>D55</f>
        <v>0</v>
      </c>
      <c r="BQ55" s="393">
        <f t="shared" ref="BQ55:BW55" si="306">E55</f>
        <v>0</v>
      </c>
      <c r="BR55" s="393">
        <f t="shared" si="306"/>
        <v>0</v>
      </c>
      <c r="BS55" s="393">
        <f t="shared" si="306"/>
        <v>0</v>
      </c>
      <c r="BT55" s="393">
        <f t="shared" si="306"/>
        <v>0</v>
      </c>
      <c r="BU55" s="393">
        <f t="shared" si="306"/>
        <v>0</v>
      </c>
      <c r="BV55" s="447">
        <f t="shared" si="306"/>
        <v>171</v>
      </c>
      <c r="BW55" s="393">
        <f t="shared" si="306"/>
        <v>0</v>
      </c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19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319"/>
      <c r="DC55" s="212"/>
      <c r="DD55" s="212"/>
      <c r="DE55" s="212"/>
      <c r="DF55" s="212"/>
      <c r="DG55" s="212"/>
      <c r="DH55" s="212"/>
      <c r="DI55" s="212"/>
      <c r="DJ55" s="212"/>
      <c r="DK55" s="212"/>
      <c r="DL55" s="198">
        <f t="shared" si="298"/>
        <v>0</v>
      </c>
      <c r="DM55" s="198">
        <f t="shared" si="299"/>
        <v>0</v>
      </c>
      <c r="DN55" s="198">
        <f t="shared" si="300"/>
        <v>0</v>
      </c>
      <c r="DO55" s="198">
        <f t="shared" si="301"/>
        <v>0</v>
      </c>
      <c r="DP55" s="198">
        <f t="shared" si="302"/>
        <v>0</v>
      </c>
      <c r="DQ55" s="198">
        <f t="shared" si="303"/>
        <v>0</v>
      </c>
      <c r="DR55" s="319">
        <f t="shared" si="304"/>
        <v>171</v>
      </c>
      <c r="DS55" s="198">
        <f t="shared" si="305"/>
        <v>0</v>
      </c>
      <c r="DT55" s="212"/>
      <c r="DU55" s="212"/>
      <c r="DV55" s="212"/>
      <c r="DW55" s="212"/>
      <c r="DX55" s="212"/>
      <c r="DY55" s="212"/>
      <c r="DZ55" s="319"/>
      <c r="EA55" s="212"/>
      <c r="EB55" s="212"/>
    </row>
    <row r="56" spans="1:132" s="200" customFormat="1" outlineLevel="1" x14ac:dyDescent="0.25">
      <c r="A56" s="14" t="s">
        <v>704</v>
      </c>
      <c r="B56" s="421" t="s">
        <v>706</v>
      </c>
      <c r="C56" s="390" t="s">
        <v>731</v>
      </c>
      <c r="D56" s="198"/>
      <c r="E56" s="198"/>
      <c r="F56" s="198"/>
      <c r="G56" s="198"/>
      <c r="H56" s="198"/>
      <c r="I56" s="198"/>
      <c r="J56" s="319">
        <v>201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212"/>
      <c r="BH56" s="212"/>
      <c r="BI56" s="212"/>
      <c r="BJ56" s="212"/>
      <c r="BK56" s="212"/>
      <c r="BL56" s="212"/>
      <c r="BM56" s="212"/>
      <c r="BN56" s="333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393">
        <f>D56</f>
        <v>0</v>
      </c>
      <c r="CG56" s="393">
        <f t="shared" ref="CG56:CM56" si="307">E56</f>
        <v>0</v>
      </c>
      <c r="CH56" s="393">
        <f t="shared" si="307"/>
        <v>0</v>
      </c>
      <c r="CI56" s="393">
        <f t="shared" si="307"/>
        <v>0</v>
      </c>
      <c r="CJ56" s="393">
        <f t="shared" si="307"/>
        <v>0</v>
      </c>
      <c r="CK56" s="393">
        <f t="shared" si="307"/>
        <v>0</v>
      </c>
      <c r="CL56" s="462">
        <f t="shared" si="307"/>
        <v>201</v>
      </c>
      <c r="CM56" s="393">
        <f t="shared" si="307"/>
        <v>0</v>
      </c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319"/>
      <c r="DC56" s="212"/>
      <c r="DD56" s="212"/>
      <c r="DE56" s="212"/>
      <c r="DF56" s="212"/>
      <c r="DG56" s="212"/>
      <c r="DH56" s="212"/>
      <c r="DI56" s="212"/>
      <c r="DJ56" s="212"/>
      <c r="DK56" s="212"/>
      <c r="DL56" s="198">
        <f t="shared" si="298"/>
        <v>0</v>
      </c>
      <c r="DM56" s="198">
        <f t="shared" si="299"/>
        <v>0</v>
      </c>
      <c r="DN56" s="198">
        <f t="shared" si="300"/>
        <v>0</v>
      </c>
      <c r="DO56" s="198">
        <f t="shared" si="301"/>
        <v>0</v>
      </c>
      <c r="DP56" s="198">
        <f t="shared" si="302"/>
        <v>0</v>
      </c>
      <c r="DQ56" s="198">
        <f t="shared" si="303"/>
        <v>0</v>
      </c>
      <c r="DR56" s="319">
        <f t="shared" si="304"/>
        <v>201</v>
      </c>
      <c r="DS56" s="198">
        <f t="shared" si="305"/>
        <v>0</v>
      </c>
      <c r="DT56" s="212"/>
      <c r="DU56" s="212"/>
      <c r="DV56" s="212"/>
      <c r="DW56" s="212"/>
      <c r="DX56" s="212"/>
      <c r="DY56" s="212"/>
      <c r="DZ56" s="319"/>
      <c r="EA56" s="212"/>
      <c r="EB56" s="212"/>
    </row>
    <row r="57" spans="1:132" s="200" customFormat="1" outlineLevel="1" x14ac:dyDescent="0.25">
      <c r="A57" s="14" t="s">
        <v>705</v>
      </c>
      <c r="B57" s="421" t="s">
        <v>706</v>
      </c>
      <c r="C57" s="390" t="s">
        <v>732</v>
      </c>
      <c r="D57" s="198"/>
      <c r="E57" s="198"/>
      <c r="F57" s="198"/>
      <c r="G57" s="198"/>
      <c r="H57" s="198"/>
      <c r="I57" s="198"/>
      <c r="J57" s="319">
        <v>213</v>
      </c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212"/>
      <c r="BH57" s="212"/>
      <c r="BI57" s="212"/>
      <c r="BJ57" s="212"/>
      <c r="BK57" s="212"/>
      <c r="BL57" s="212"/>
      <c r="BM57" s="212"/>
      <c r="BN57" s="333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393">
        <f>D57</f>
        <v>0</v>
      </c>
      <c r="CW57" s="393">
        <f t="shared" ref="CW57:DC57" si="308">E57</f>
        <v>0</v>
      </c>
      <c r="CX57" s="393">
        <f t="shared" si="308"/>
        <v>0</v>
      </c>
      <c r="CY57" s="393">
        <f t="shared" si="308"/>
        <v>0</v>
      </c>
      <c r="CZ57" s="393">
        <f t="shared" si="308"/>
        <v>0</v>
      </c>
      <c r="DA57" s="393">
        <f t="shared" si="308"/>
        <v>0</v>
      </c>
      <c r="DB57" s="462">
        <f t="shared" si="308"/>
        <v>213</v>
      </c>
      <c r="DC57" s="393">
        <f t="shared" si="308"/>
        <v>0</v>
      </c>
      <c r="DD57" s="212"/>
      <c r="DE57" s="212"/>
      <c r="DF57" s="212"/>
      <c r="DG57" s="212"/>
      <c r="DH57" s="212"/>
      <c r="DI57" s="212"/>
      <c r="DJ57" s="212"/>
      <c r="DK57" s="212"/>
      <c r="DL57" s="198">
        <f t="shared" si="298"/>
        <v>0</v>
      </c>
      <c r="DM57" s="198">
        <f t="shared" si="299"/>
        <v>0</v>
      </c>
      <c r="DN57" s="198">
        <f t="shared" si="300"/>
        <v>0</v>
      </c>
      <c r="DO57" s="198">
        <f t="shared" si="301"/>
        <v>0</v>
      </c>
      <c r="DP57" s="198">
        <f t="shared" si="302"/>
        <v>0</v>
      </c>
      <c r="DQ57" s="198">
        <f t="shared" si="303"/>
        <v>0</v>
      </c>
      <c r="DR57" s="319">
        <f t="shared" si="304"/>
        <v>213</v>
      </c>
      <c r="DS57" s="198">
        <f t="shared" si="305"/>
        <v>0</v>
      </c>
      <c r="DT57" s="212"/>
      <c r="DU57" s="212"/>
      <c r="DV57" s="212"/>
      <c r="DW57" s="212"/>
      <c r="DX57" s="212"/>
      <c r="DY57" s="212"/>
      <c r="DZ57" s="319"/>
      <c r="EA57" s="212"/>
      <c r="EB57" s="212"/>
    </row>
    <row r="58" spans="1:132" s="200" customFormat="1" ht="31.5" outlineLevel="1" x14ac:dyDescent="0.25">
      <c r="A58" s="197" t="s">
        <v>120</v>
      </c>
      <c r="B58" s="11" t="s">
        <v>49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212"/>
      <c r="BH58" s="212"/>
      <c r="BI58" s="212"/>
      <c r="BJ58" s="212"/>
      <c r="BK58" s="212"/>
      <c r="BL58" s="212"/>
      <c r="BM58" s="212"/>
      <c r="BN58" s="333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319"/>
      <c r="EA58" s="212"/>
      <c r="EB58" s="212"/>
    </row>
    <row r="59" spans="1:132" s="200" customFormat="1" outlineLevel="1" x14ac:dyDescent="0.25">
      <c r="A59" s="197" t="s">
        <v>50</v>
      </c>
      <c r="B59" s="11" t="s">
        <v>51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212"/>
      <c r="BH59" s="212"/>
      <c r="BI59" s="212"/>
      <c r="BJ59" s="212"/>
      <c r="BK59" s="212"/>
      <c r="BL59" s="212"/>
      <c r="BM59" s="212"/>
      <c r="BN59" s="333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319"/>
      <c r="EA59" s="212"/>
      <c r="EB59" s="212"/>
    </row>
    <row r="60" spans="1:132" s="200" customFormat="1" ht="31.5" outlineLevel="1" x14ac:dyDescent="0.25">
      <c r="A60" s="197" t="s">
        <v>52</v>
      </c>
      <c r="B60" s="11" t="s">
        <v>53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212"/>
      <c r="BH60" s="212"/>
      <c r="BI60" s="212"/>
      <c r="BJ60" s="212"/>
      <c r="BK60" s="212"/>
      <c r="BL60" s="212"/>
      <c r="BM60" s="212"/>
      <c r="BN60" s="333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319"/>
      <c r="EA60" s="212"/>
      <c r="EB60" s="212"/>
    </row>
    <row r="61" spans="1:132" s="200" customFormat="1" ht="31.5" x14ac:dyDescent="0.25">
      <c r="A61" s="197" t="s">
        <v>54</v>
      </c>
      <c r="B61" s="11" t="s">
        <v>55</v>
      </c>
      <c r="C61" s="198">
        <v>0</v>
      </c>
      <c r="D61" s="198">
        <f>D62</f>
        <v>0</v>
      </c>
      <c r="E61" s="198">
        <f t="shared" ref="E61:CV61" si="309">E62</f>
        <v>0</v>
      </c>
      <c r="F61" s="198">
        <f t="shared" si="309"/>
        <v>0</v>
      </c>
      <c r="G61" s="198">
        <f t="shared" si="309"/>
        <v>0</v>
      </c>
      <c r="H61" s="198">
        <f t="shared" si="309"/>
        <v>0</v>
      </c>
      <c r="I61" s="198">
        <f t="shared" si="309"/>
        <v>0</v>
      </c>
      <c r="J61" s="198"/>
      <c r="K61" s="198">
        <f t="shared" si="309"/>
        <v>0</v>
      </c>
      <c r="L61" s="198">
        <f t="shared" si="309"/>
        <v>0</v>
      </c>
      <c r="M61" s="198">
        <f t="shared" si="309"/>
        <v>0</v>
      </c>
      <c r="N61" s="198">
        <f t="shared" si="309"/>
        <v>0</v>
      </c>
      <c r="O61" s="198">
        <f t="shared" si="309"/>
        <v>0</v>
      </c>
      <c r="P61" s="198">
        <f t="shared" si="309"/>
        <v>0</v>
      </c>
      <c r="Q61" s="198">
        <f t="shared" si="309"/>
        <v>0</v>
      </c>
      <c r="R61" s="198"/>
      <c r="S61" s="198">
        <f t="shared" si="309"/>
        <v>0</v>
      </c>
      <c r="T61" s="198">
        <f t="shared" si="309"/>
        <v>0</v>
      </c>
      <c r="U61" s="198">
        <f t="shared" si="309"/>
        <v>0</v>
      </c>
      <c r="V61" s="198">
        <f t="shared" si="309"/>
        <v>0</v>
      </c>
      <c r="W61" s="198">
        <f t="shared" si="309"/>
        <v>0</v>
      </c>
      <c r="X61" s="198">
        <f t="shared" si="309"/>
        <v>0</v>
      </c>
      <c r="Y61" s="198">
        <f t="shared" si="309"/>
        <v>0</v>
      </c>
      <c r="Z61" s="198"/>
      <c r="AA61" s="198">
        <f t="shared" si="309"/>
        <v>0</v>
      </c>
      <c r="AB61" s="198">
        <f t="shared" si="309"/>
        <v>0</v>
      </c>
      <c r="AC61" s="198">
        <f t="shared" si="309"/>
        <v>0</v>
      </c>
      <c r="AD61" s="198">
        <f t="shared" si="309"/>
        <v>0</v>
      </c>
      <c r="AE61" s="198">
        <f t="shared" si="309"/>
        <v>0</v>
      </c>
      <c r="AF61" s="198">
        <f t="shared" si="309"/>
        <v>0</v>
      </c>
      <c r="AG61" s="198">
        <f t="shared" si="309"/>
        <v>0</v>
      </c>
      <c r="AH61" s="198"/>
      <c r="AI61" s="198">
        <f t="shared" si="309"/>
        <v>0</v>
      </c>
      <c r="AJ61" s="198">
        <f t="shared" si="309"/>
        <v>0</v>
      </c>
      <c r="AK61" s="198">
        <f t="shared" si="309"/>
        <v>0</v>
      </c>
      <c r="AL61" s="198">
        <f t="shared" si="309"/>
        <v>0</v>
      </c>
      <c r="AM61" s="198">
        <f t="shared" si="309"/>
        <v>0</v>
      </c>
      <c r="AN61" s="198">
        <f t="shared" si="309"/>
        <v>0</v>
      </c>
      <c r="AO61" s="198">
        <f t="shared" si="309"/>
        <v>0</v>
      </c>
      <c r="AP61" s="198"/>
      <c r="AQ61" s="198">
        <f t="shared" si="309"/>
        <v>0</v>
      </c>
      <c r="AR61" s="198">
        <f t="shared" si="309"/>
        <v>0</v>
      </c>
      <c r="AS61" s="198">
        <f t="shared" si="309"/>
        <v>0</v>
      </c>
      <c r="AT61" s="198">
        <f t="shared" si="309"/>
        <v>0</v>
      </c>
      <c r="AU61" s="198">
        <f t="shared" si="309"/>
        <v>0</v>
      </c>
      <c r="AV61" s="198">
        <f t="shared" si="309"/>
        <v>0</v>
      </c>
      <c r="AW61" s="198">
        <f t="shared" si="309"/>
        <v>0</v>
      </c>
      <c r="AX61" s="198"/>
      <c r="AY61" s="198">
        <f t="shared" si="309"/>
        <v>0</v>
      </c>
      <c r="AZ61" s="198">
        <f t="shared" si="309"/>
        <v>0</v>
      </c>
      <c r="BA61" s="198">
        <f t="shared" si="309"/>
        <v>0</v>
      </c>
      <c r="BB61" s="198">
        <f t="shared" si="309"/>
        <v>0</v>
      </c>
      <c r="BC61" s="198">
        <f t="shared" si="309"/>
        <v>0</v>
      </c>
      <c r="BD61" s="198">
        <f t="shared" si="309"/>
        <v>0</v>
      </c>
      <c r="BE61" s="198">
        <f t="shared" si="309"/>
        <v>0</v>
      </c>
      <c r="BF61" s="198">
        <f t="shared" si="309"/>
        <v>0</v>
      </c>
      <c r="BG61" s="198">
        <f t="shared" si="309"/>
        <v>0</v>
      </c>
      <c r="BH61" s="198">
        <f t="shared" si="309"/>
        <v>0</v>
      </c>
      <c r="BI61" s="198">
        <f t="shared" si="309"/>
        <v>0</v>
      </c>
      <c r="BJ61" s="198">
        <f t="shared" si="309"/>
        <v>0</v>
      </c>
      <c r="BK61" s="198">
        <f t="shared" si="309"/>
        <v>0</v>
      </c>
      <c r="BL61" s="198">
        <f t="shared" si="309"/>
        <v>0</v>
      </c>
      <c r="BM61" s="198">
        <f t="shared" si="309"/>
        <v>0</v>
      </c>
      <c r="BN61" s="333">
        <f t="shared" si="309"/>
        <v>0</v>
      </c>
      <c r="BO61" s="198">
        <f t="shared" si="309"/>
        <v>0</v>
      </c>
      <c r="BP61" s="198">
        <f t="shared" si="309"/>
        <v>0</v>
      </c>
      <c r="BQ61" s="198">
        <f t="shared" si="309"/>
        <v>0</v>
      </c>
      <c r="BR61" s="198">
        <f t="shared" si="309"/>
        <v>0</v>
      </c>
      <c r="BS61" s="198">
        <f t="shared" si="309"/>
        <v>0</v>
      </c>
      <c r="BT61" s="198">
        <f t="shared" si="309"/>
        <v>0</v>
      </c>
      <c r="BU61" s="198">
        <f t="shared" si="309"/>
        <v>0</v>
      </c>
      <c r="BV61" s="198">
        <f t="shared" si="309"/>
        <v>0</v>
      </c>
      <c r="BW61" s="212"/>
      <c r="BX61" s="212"/>
      <c r="BY61" s="212"/>
      <c r="BZ61" s="212"/>
      <c r="CA61" s="212"/>
      <c r="CB61" s="212"/>
      <c r="CC61" s="212"/>
      <c r="CD61" s="212"/>
      <c r="CE61" s="212"/>
      <c r="CF61" s="198">
        <f t="shared" si="309"/>
        <v>0</v>
      </c>
      <c r="CG61" s="198">
        <f t="shared" si="309"/>
        <v>0</v>
      </c>
      <c r="CH61" s="198">
        <f t="shared" si="309"/>
        <v>0</v>
      </c>
      <c r="CI61" s="198">
        <f t="shared" si="309"/>
        <v>0</v>
      </c>
      <c r="CJ61" s="198">
        <f t="shared" si="309"/>
        <v>0</v>
      </c>
      <c r="CK61" s="198">
        <f t="shared" si="309"/>
        <v>0</v>
      </c>
      <c r="CL61" s="198">
        <f t="shared" si="309"/>
        <v>0</v>
      </c>
      <c r="CM61" s="212"/>
      <c r="CN61" s="212"/>
      <c r="CO61" s="212"/>
      <c r="CP61" s="212"/>
      <c r="CQ61" s="212"/>
      <c r="CR61" s="212"/>
      <c r="CS61" s="212"/>
      <c r="CT61" s="212"/>
      <c r="CU61" s="212"/>
      <c r="CV61" s="198">
        <f t="shared" si="309"/>
        <v>0</v>
      </c>
      <c r="CW61" s="198">
        <f t="shared" ref="CW61:DB61" si="310">CW62</f>
        <v>0</v>
      </c>
      <c r="CX61" s="198">
        <f t="shared" si="310"/>
        <v>0</v>
      </c>
      <c r="CY61" s="198">
        <f t="shared" si="310"/>
        <v>0</v>
      </c>
      <c r="CZ61" s="198">
        <f t="shared" si="310"/>
        <v>0</v>
      </c>
      <c r="DA61" s="198">
        <f t="shared" si="310"/>
        <v>0</v>
      </c>
      <c r="DB61" s="198">
        <f t="shared" si="310"/>
        <v>0</v>
      </c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198">
        <f>DP62</f>
        <v>0</v>
      </c>
      <c r="DQ61" s="198">
        <f t="shared" ref="DQ61:EA61" si="311">DQ62</f>
        <v>0</v>
      </c>
      <c r="DR61" s="198">
        <f t="shared" si="311"/>
        <v>0</v>
      </c>
      <c r="DS61" s="198">
        <f t="shared" si="311"/>
        <v>0</v>
      </c>
      <c r="DT61" s="198">
        <f t="shared" si="311"/>
        <v>0</v>
      </c>
      <c r="DU61" s="198">
        <f t="shared" si="311"/>
        <v>0</v>
      </c>
      <c r="DV61" s="198">
        <f t="shared" si="311"/>
        <v>0</v>
      </c>
      <c r="DW61" s="198">
        <f t="shared" si="311"/>
        <v>0</v>
      </c>
      <c r="DX61" s="198">
        <f t="shared" si="311"/>
        <v>0</v>
      </c>
      <c r="DY61" s="198">
        <f t="shared" si="311"/>
        <v>0</v>
      </c>
      <c r="DZ61" s="319">
        <f t="shared" si="311"/>
        <v>0</v>
      </c>
      <c r="EA61" s="198">
        <f t="shared" si="311"/>
        <v>0</v>
      </c>
      <c r="EB61" s="212"/>
    </row>
    <row r="62" spans="1:132" s="362" customFormat="1" x14ac:dyDescent="0.25">
      <c r="A62" s="197"/>
      <c r="B62" s="1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67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  <c r="CH62" s="351"/>
      <c r="CI62" s="351"/>
      <c r="CJ62" s="351"/>
      <c r="CK62" s="351"/>
      <c r="CL62" s="351"/>
      <c r="CM62" s="351"/>
      <c r="CN62" s="351"/>
      <c r="CO62" s="351"/>
      <c r="CP62" s="351"/>
      <c r="CQ62" s="351"/>
      <c r="CR62" s="351"/>
      <c r="CS62" s="351"/>
      <c r="CT62" s="351"/>
      <c r="CU62" s="351"/>
      <c r="CV62" s="351"/>
      <c r="CW62" s="351"/>
      <c r="CX62" s="351"/>
      <c r="CY62" s="351"/>
      <c r="CZ62" s="351"/>
      <c r="DA62" s="351"/>
      <c r="DB62" s="351"/>
      <c r="DC62" s="351"/>
      <c r="DD62" s="351"/>
      <c r="DE62" s="351"/>
      <c r="DF62" s="351"/>
      <c r="DG62" s="351"/>
      <c r="DH62" s="351"/>
      <c r="DI62" s="351"/>
      <c r="DJ62" s="351"/>
      <c r="DK62" s="351"/>
      <c r="DL62" s="351"/>
      <c r="DM62" s="351"/>
      <c r="DN62" s="351"/>
      <c r="DO62" s="351"/>
      <c r="DP62" s="351"/>
      <c r="DQ62" s="351"/>
      <c r="DR62" s="351"/>
      <c r="DS62" s="351"/>
      <c r="DT62" s="351"/>
      <c r="DU62" s="351"/>
      <c r="DV62" s="351"/>
      <c r="DW62" s="351"/>
      <c r="DX62" s="351"/>
      <c r="DY62" s="351"/>
      <c r="DZ62" s="372"/>
      <c r="EA62" s="371"/>
      <c r="EB62" s="351"/>
    </row>
    <row r="63" spans="1:132" s="134" customFormat="1" ht="31.5" hidden="1" outlineLevel="1" x14ac:dyDescent="0.25">
      <c r="A63" s="60" t="s">
        <v>56</v>
      </c>
      <c r="B63" s="203" t="s">
        <v>57</v>
      </c>
      <c r="C63" s="204"/>
      <c r="D63" s="204"/>
      <c r="E63" s="205"/>
      <c r="F63" s="205"/>
      <c r="G63" s="204"/>
      <c r="H63" s="206"/>
      <c r="I63" s="206"/>
      <c r="J63" s="206"/>
      <c r="K63" s="207"/>
      <c r="L63" s="204"/>
      <c r="M63" s="204"/>
      <c r="N63" s="208"/>
      <c r="O63" s="204"/>
      <c r="P63" s="204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326"/>
      <c r="DZ63" s="334"/>
      <c r="EA63" s="335"/>
    </row>
    <row r="64" spans="1:132" ht="31.5" hidden="1" outlineLevel="1" x14ac:dyDescent="0.25">
      <c r="A64" s="60" t="s">
        <v>58</v>
      </c>
      <c r="B64" s="61" t="s">
        <v>59</v>
      </c>
      <c r="C64" s="56"/>
      <c r="D64" s="56"/>
      <c r="E64" s="62"/>
      <c r="F64" s="62"/>
      <c r="G64" s="56"/>
      <c r="H64" s="56"/>
      <c r="I64" s="56"/>
      <c r="J64" s="56"/>
      <c r="K64" s="63"/>
      <c r="L64" s="56"/>
      <c r="M64" s="56"/>
      <c r="N64" s="63"/>
      <c r="O64" s="56"/>
      <c r="P64" s="56"/>
      <c r="Q64" s="56"/>
      <c r="R64" s="56"/>
      <c r="S64" s="56"/>
      <c r="T64" s="56"/>
      <c r="U64" s="56"/>
      <c r="DZ64" s="336"/>
      <c r="EA64" s="337"/>
    </row>
    <row r="65" spans="1:132" ht="31.5" hidden="1" outlineLevel="1" x14ac:dyDescent="0.25">
      <c r="A65" s="14" t="s">
        <v>60</v>
      </c>
      <c r="B65" s="16" t="s">
        <v>61</v>
      </c>
      <c r="C65" s="17"/>
      <c r="D65" s="17"/>
      <c r="E65" s="47"/>
      <c r="F65" s="47"/>
      <c r="G65" s="17"/>
      <c r="H65" s="17"/>
      <c r="I65" s="17"/>
      <c r="J65" s="17"/>
      <c r="K65" s="52"/>
      <c r="L65" s="17"/>
      <c r="M65" s="17"/>
      <c r="N65" s="52"/>
      <c r="O65" s="17"/>
      <c r="P65" s="17"/>
      <c r="Q65" s="17"/>
      <c r="R65" s="17"/>
      <c r="S65" s="17"/>
      <c r="T65" s="17"/>
      <c r="U65" s="17"/>
      <c r="DZ65" s="336"/>
      <c r="EA65" s="337"/>
    </row>
    <row r="66" spans="1:132" s="25" customFormat="1" ht="31.5" hidden="1" outlineLevel="1" x14ac:dyDescent="0.25">
      <c r="A66" s="22" t="s">
        <v>62</v>
      </c>
      <c r="B66" s="23" t="s">
        <v>63</v>
      </c>
      <c r="C66" s="24"/>
      <c r="D66" s="24"/>
      <c r="E66" s="48"/>
      <c r="F66" s="48"/>
      <c r="G66" s="24"/>
      <c r="H66" s="24"/>
      <c r="I66" s="24"/>
      <c r="J66" s="24"/>
      <c r="K66" s="53"/>
      <c r="L66" s="24"/>
      <c r="M66" s="24"/>
      <c r="N66" s="53"/>
      <c r="O66" s="24"/>
      <c r="P66" s="24"/>
      <c r="Q66" s="24"/>
      <c r="R66" s="24"/>
      <c r="S66" s="24"/>
      <c r="T66" s="24"/>
      <c r="U66" s="24"/>
      <c r="DZ66" s="338"/>
      <c r="EA66" s="337"/>
    </row>
    <row r="67" spans="1:132" hidden="1" outlineLevel="1" x14ac:dyDescent="0.25">
      <c r="A67" s="14" t="s">
        <v>64</v>
      </c>
      <c r="B67" s="16" t="s">
        <v>65</v>
      </c>
      <c r="C67" s="17"/>
      <c r="D67" s="17"/>
      <c r="E67" s="47"/>
      <c r="F67" s="47"/>
      <c r="G67" s="17"/>
      <c r="H67" s="17"/>
      <c r="I67" s="17"/>
      <c r="J67" s="17"/>
      <c r="K67" s="52"/>
      <c r="L67" s="17"/>
      <c r="M67" s="17"/>
      <c r="N67" s="52"/>
      <c r="O67" s="17"/>
      <c r="P67" s="17"/>
      <c r="Q67" s="17"/>
      <c r="R67" s="17"/>
      <c r="S67" s="17"/>
      <c r="T67" s="17"/>
      <c r="U67" s="17"/>
      <c r="DZ67" s="336"/>
      <c r="EA67" s="337"/>
    </row>
    <row r="68" spans="1:132" ht="31.5" hidden="1" outlineLevel="1" x14ac:dyDescent="0.25">
      <c r="A68" s="14" t="s">
        <v>66</v>
      </c>
      <c r="B68" s="16" t="s">
        <v>67</v>
      </c>
      <c r="C68" s="17"/>
      <c r="D68" s="17"/>
      <c r="E68" s="47"/>
      <c r="F68" s="47"/>
      <c r="G68" s="17"/>
      <c r="H68" s="17"/>
      <c r="I68" s="17"/>
      <c r="J68" s="17"/>
      <c r="K68" s="52"/>
      <c r="L68" s="17"/>
      <c r="M68" s="17"/>
      <c r="N68" s="52"/>
      <c r="O68" s="17"/>
      <c r="P68" s="17"/>
      <c r="Q68" s="17"/>
      <c r="R68" s="17"/>
      <c r="S68" s="17"/>
      <c r="T68" s="17"/>
      <c r="U68" s="17"/>
      <c r="DZ68" s="336"/>
      <c r="EA68" s="337"/>
    </row>
    <row r="69" spans="1:132" s="28" customFormat="1" ht="47.25" hidden="1" outlineLevel="1" collapsed="1" x14ac:dyDescent="0.25">
      <c r="A69" s="20" t="s">
        <v>68</v>
      </c>
      <c r="B69" s="32" t="s">
        <v>69</v>
      </c>
      <c r="C69" s="27"/>
      <c r="D69" s="27"/>
      <c r="E69" s="49"/>
      <c r="F69" s="49"/>
      <c r="G69" s="27"/>
      <c r="H69" s="27"/>
      <c r="I69" s="27"/>
      <c r="J69" s="27"/>
      <c r="K69" s="54"/>
      <c r="L69" s="27"/>
      <c r="M69" s="27"/>
      <c r="N69" s="54"/>
      <c r="O69" s="27"/>
      <c r="P69" s="27"/>
      <c r="Q69" s="27"/>
      <c r="R69" s="27"/>
      <c r="S69" s="27"/>
      <c r="T69" s="27"/>
      <c r="U69" s="27"/>
      <c r="DZ69" s="339"/>
      <c r="EA69" s="340"/>
    </row>
    <row r="70" spans="1:132" s="25" customFormat="1" ht="31.5" hidden="1" outlineLevel="1" x14ac:dyDescent="0.25">
      <c r="A70" s="22" t="s">
        <v>70</v>
      </c>
      <c r="B70" s="23" t="s">
        <v>71</v>
      </c>
      <c r="C70" s="24"/>
      <c r="D70" s="24"/>
      <c r="E70" s="48"/>
      <c r="F70" s="48"/>
      <c r="G70" s="24"/>
      <c r="H70" s="24"/>
      <c r="I70" s="24"/>
      <c r="J70" s="24"/>
      <c r="K70" s="53"/>
      <c r="L70" s="24"/>
      <c r="M70" s="24"/>
      <c r="N70" s="53"/>
      <c r="O70" s="24"/>
      <c r="P70" s="24"/>
      <c r="Q70" s="24"/>
      <c r="R70" s="24"/>
      <c r="S70" s="24"/>
      <c r="T70" s="24"/>
      <c r="U70" s="24"/>
      <c r="DZ70" s="338"/>
      <c r="EA70" s="337"/>
    </row>
    <row r="71" spans="1:132" s="25" customFormat="1" ht="31.5" hidden="1" outlineLevel="1" x14ac:dyDescent="0.25">
      <c r="A71" s="302" t="s">
        <v>72</v>
      </c>
      <c r="B71" s="303" t="s">
        <v>73</v>
      </c>
      <c r="C71" s="304"/>
      <c r="D71" s="304"/>
      <c r="E71" s="305"/>
      <c r="F71" s="305"/>
      <c r="G71" s="304"/>
      <c r="H71" s="304"/>
      <c r="I71" s="304"/>
      <c r="J71" s="304"/>
      <c r="K71" s="306"/>
      <c r="L71" s="304"/>
      <c r="M71" s="304"/>
      <c r="N71" s="306"/>
      <c r="O71" s="304"/>
      <c r="P71" s="304"/>
      <c r="Q71" s="304"/>
      <c r="R71" s="304"/>
      <c r="S71" s="304"/>
      <c r="T71" s="304"/>
      <c r="U71" s="304"/>
      <c r="DZ71" s="338"/>
      <c r="EA71" s="337"/>
    </row>
    <row r="72" spans="1:132" s="310" customFormat="1" collapsed="1" x14ac:dyDescent="0.25">
      <c r="A72" s="20" t="s">
        <v>528</v>
      </c>
      <c r="B72" s="265" t="s">
        <v>529</v>
      </c>
      <c r="C72" s="307"/>
      <c r="D72" s="307"/>
      <c r="E72" s="308"/>
      <c r="F72" s="481">
        <f>SUM(F73:F74)</f>
        <v>0</v>
      </c>
      <c r="G72" s="481">
        <f t="shared" ref="G72:CX72" si="312">SUM(G73:G74)</f>
        <v>0</v>
      </c>
      <c r="H72" s="481">
        <f t="shared" si="312"/>
        <v>0</v>
      </c>
      <c r="I72" s="481">
        <f t="shared" si="312"/>
        <v>0</v>
      </c>
      <c r="J72" s="481">
        <f t="shared" si="312"/>
        <v>0</v>
      </c>
      <c r="K72" s="481">
        <f t="shared" si="312"/>
        <v>2</v>
      </c>
      <c r="L72" s="481">
        <f t="shared" si="312"/>
        <v>0</v>
      </c>
      <c r="M72" s="481">
        <f t="shared" si="312"/>
        <v>0</v>
      </c>
      <c r="N72" s="481">
        <f t="shared" si="312"/>
        <v>0</v>
      </c>
      <c r="O72" s="481">
        <f t="shared" si="312"/>
        <v>0</v>
      </c>
      <c r="P72" s="481">
        <f t="shared" si="312"/>
        <v>0</v>
      </c>
      <c r="Q72" s="481">
        <f t="shared" si="312"/>
        <v>0</v>
      </c>
      <c r="R72" s="481">
        <f t="shared" si="312"/>
        <v>0</v>
      </c>
      <c r="S72" s="481">
        <f t="shared" si="312"/>
        <v>0</v>
      </c>
      <c r="T72" s="481">
        <f t="shared" si="312"/>
        <v>0</v>
      </c>
      <c r="U72" s="481">
        <f t="shared" si="312"/>
        <v>0</v>
      </c>
      <c r="V72" s="481">
        <f t="shared" si="312"/>
        <v>0</v>
      </c>
      <c r="W72" s="481">
        <f t="shared" si="312"/>
        <v>0</v>
      </c>
      <c r="X72" s="481">
        <f t="shared" si="312"/>
        <v>0</v>
      </c>
      <c r="Y72" s="481">
        <f t="shared" si="312"/>
        <v>0</v>
      </c>
      <c r="Z72" s="481">
        <f t="shared" si="312"/>
        <v>0</v>
      </c>
      <c r="AA72" s="481">
        <f t="shared" si="312"/>
        <v>0</v>
      </c>
      <c r="AB72" s="481">
        <f t="shared" si="312"/>
        <v>0</v>
      </c>
      <c r="AC72" s="481">
        <f t="shared" si="312"/>
        <v>0</v>
      </c>
      <c r="AD72" s="481">
        <f t="shared" si="312"/>
        <v>0</v>
      </c>
      <c r="AE72" s="481">
        <f t="shared" si="312"/>
        <v>0</v>
      </c>
      <c r="AF72" s="481">
        <f t="shared" si="312"/>
        <v>0</v>
      </c>
      <c r="AG72" s="481">
        <f t="shared" si="312"/>
        <v>0</v>
      </c>
      <c r="AH72" s="481">
        <f t="shared" si="312"/>
        <v>0</v>
      </c>
      <c r="AI72" s="481">
        <f t="shared" si="312"/>
        <v>0</v>
      </c>
      <c r="AJ72" s="481">
        <f t="shared" si="312"/>
        <v>0</v>
      </c>
      <c r="AK72" s="481">
        <f t="shared" si="312"/>
        <v>0</v>
      </c>
      <c r="AL72" s="481">
        <f t="shared" si="312"/>
        <v>0</v>
      </c>
      <c r="AM72" s="481">
        <f t="shared" si="312"/>
        <v>0</v>
      </c>
      <c r="AN72" s="481">
        <f t="shared" si="312"/>
        <v>0</v>
      </c>
      <c r="AO72" s="481">
        <f t="shared" si="312"/>
        <v>0</v>
      </c>
      <c r="AP72" s="481">
        <f t="shared" si="312"/>
        <v>0</v>
      </c>
      <c r="AQ72" s="481">
        <f t="shared" si="312"/>
        <v>0</v>
      </c>
      <c r="AR72" s="481">
        <f t="shared" si="312"/>
        <v>0</v>
      </c>
      <c r="AS72" s="481">
        <f t="shared" si="312"/>
        <v>0</v>
      </c>
      <c r="AT72" s="481">
        <f t="shared" si="312"/>
        <v>0</v>
      </c>
      <c r="AU72" s="481">
        <f t="shared" si="312"/>
        <v>0</v>
      </c>
      <c r="AV72" s="481">
        <f t="shared" si="312"/>
        <v>0</v>
      </c>
      <c r="AW72" s="481">
        <f t="shared" si="312"/>
        <v>0</v>
      </c>
      <c r="AX72" s="481">
        <f t="shared" si="312"/>
        <v>0</v>
      </c>
      <c r="AY72" s="481">
        <f t="shared" si="312"/>
        <v>0</v>
      </c>
      <c r="AZ72" s="481">
        <f t="shared" si="312"/>
        <v>0</v>
      </c>
      <c r="BA72" s="481">
        <f t="shared" si="312"/>
        <v>0</v>
      </c>
      <c r="BB72" s="481">
        <f t="shared" si="312"/>
        <v>0</v>
      </c>
      <c r="BC72" s="481">
        <f t="shared" si="312"/>
        <v>0</v>
      </c>
      <c r="BD72" s="481">
        <f t="shared" si="312"/>
        <v>0</v>
      </c>
      <c r="BE72" s="481">
        <f t="shared" si="312"/>
        <v>0</v>
      </c>
      <c r="BF72" s="481">
        <f t="shared" si="312"/>
        <v>0</v>
      </c>
      <c r="BG72" s="481">
        <f t="shared" si="312"/>
        <v>0</v>
      </c>
      <c r="BH72" s="481">
        <f t="shared" si="312"/>
        <v>0</v>
      </c>
      <c r="BI72" s="481">
        <f t="shared" si="312"/>
        <v>0</v>
      </c>
      <c r="BJ72" s="481">
        <f t="shared" si="312"/>
        <v>0</v>
      </c>
      <c r="BK72" s="481">
        <f t="shared" si="312"/>
        <v>0</v>
      </c>
      <c r="BL72" s="481">
        <f t="shared" si="312"/>
        <v>0</v>
      </c>
      <c r="BM72" s="481">
        <f t="shared" si="312"/>
        <v>0</v>
      </c>
      <c r="BN72" s="481">
        <f t="shared" si="312"/>
        <v>0</v>
      </c>
      <c r="BO72" s="481">
        <f t="shared" si="312"/>
        <v>0</v>
      </c>
      <c r="BP72" s="481">
        <f t="shared" ref="BP72" si="313">SUM(BP73:BP74)</f>
        <v>0</v>
      </c>
      <c r="BQ72" s="481">
        <f t="shared" ref="BQ72" si="314">SUM(BQ73:BQ74)</f>
        <v>0</v>
      </c>
      <c r="BR72" s="481">
        <f t="shared" ref="BR72" si="315">SUM(BR73:BR74)</f>
        <v>0</v>
      </c>
      <c r="BS72" s="481">
        <f t="shared" ref="BS72" si="316">SUM(BS73:BS74)</f>
        <v>0</v>
      </c>
      <c r="BT72" s="481">
        <f t="shared" ref="BT72" si="317">SUM(BT73:BT74)</f>
        <v>0</v>
      </c>
      <c r="BU72" s="481">
        <f t="shared" ref="BU72" si="318">SUM(BU73:BU74)</f>
        <v>0</v>
      </c>
      <c r="BV72" s="481">
        <f t="shared" ref="BV72" si="319">SUM(BV73:BV74)</f>
        <v>0</v>
      </c>
      <c r="BW72" s="481">
        <f t="shared" ref="BW72" si="320">SUM(BW73:BW74)</f>
        <v>1</v>
      </c>
      <c r="BX72" s="481">
        <f t="shared" ref="BX72" si="321">SUM(BX73:BX74)</f>
        <v>0</v>
      </c>
      <c r="BY72" s="481">
        <f t="shared" ref="BY72" si="322">SUM(BY73:BY74)</f>
        <v>0</v>
      </c>
      <c r="BZ72" s="481">
        <f t="shared" ref="BZ72" si="323">SUM(BZ73:BZ74)</f>
        <v>0</v>
      </c>
      <c r="CA72" s="481">
        <f t="shared" ref="CA72" si="324">SUM(CA73:CA74)</f>
        <v>0</v>
      </c>
      <c r="CB72" s="481">
        <f t="shared" ref="CB72" si="325">SUM(CB73:CB74)</f>
        <v>0</v>
      </c>
      <c r="CC72" s="481">
        <f t="shared" ref="CC72" si="326">SUM(CC73:CC74)</f>
        <v>0</v>
      </c>
      <c r="CD72" s="481">
        <f t="shared" ref="CD72" si="327">SUM(CD73:CD74)</f>
        <v>0</v>
      </c>
      <c r="CE72" s="481">
        <f t="shared" ref="CE72" si="328">SUM(CE73:CE74)</f>
        <v>0</v>
      </c>
      <c r="CF72" s="481">
        <f t="shared" ref="CF72" si="329">SUM(CF73:CF74)</f>
        <v>0</v>
      </c>
      <c r="CG72" s="481">
        <f t="shared" ref="CG72" si="330">SUM(CG73:CG74)</f>
        <v>0</v>
      </c>
      <c r="CH72" s="481">
        <f t="shared" ref="CH72" si="331">SUM(CH73:CH74)</f>
        <v>0</v>
      </c>
      <c r="CI72" s="481">
        <f t="shared" ref="CI72" si="332">SUM(CI73:CI74)</f>
        <v>0</v>
      </c>
      <c r="CJ72" s="481">
        <f t="shared" ref="CJ72" si="333">SUM(CJ73:CJ74)</f>
        <v>0</v>
      </c>
      <c r="CK72" s="481">
        <f t="shared" ref="CK72" si="334">SUM(CK73:CK74)</f>
        <v>0</v>
      </c>
      <c r="CL72" s="481">
        <f t="shared" ref="CL72" si="335">SUM(CL73:CL74)</f>
        <v>0</v>
      </c>
      <c r="CM72" s="481">
        <f t="shared" ref="CM72" si="336">SUM(CM73:CM74)</f>
        <v>1</v>
      </c>
      <c r="CN72" s="481">
        <f t="shared" ref="CN72" si="337">SUM(CN73:CN74)</f>
        <v>0</v>
      </c>
      <c r="CO72" s="481">
        <f t="shared" ref="CO72" si="338">SUM(CO73:CO74)</f>
        <v>0</v>
      </c>
      <c r="CP72" s="481">
        <f t="shared" ref="CP72" si="339">SUM(CP73:CP74)</f>
        <v>0</v>
      </c>
      <c r="CQ72" s="481">
        <f t="shared" ref="CQ72" si="340">SUM(CQ73:CQ74)</f>
        <v>0</v>
      </c>
      <c r="CR72" s="481">
        <f t="shared" ref="CR72" si="341">SUM(CR73:CR74)</f>
        <v>0</v>
      </c>
      <c r="CS72" s="481">
        <f t="shared" ref="CS72" si="342">SUM(CS73:CS74)</f>
        <v>0</v>
      </c>
      <c r="CT72" s="481">
        <f t="shared" ref="CT72" si="343">SUM(CT73:CT74)</f>
        <v>0</v>
      </c>
      <c r="CU72" s="481">
        <f t="shared" ref="CU72" si="344">SUM(CU73:CU74)</f>
        <v>0</v>
      </c>
      <c r="CV72" s="481">
        <f t="shared" si="312"/>
        <v>0</v>
      </c>
      <c r="CW72" s="481">
        <f t="shared" si="312"/>
        <v>0</v>
      </c>
      <c r="CX72" s="481">
        <f t="shared" si="312"/>
        <v>0</v>
      </c>
      <c r="CY72" s="481">
        <f t="shared" ref="CY72:EB72" si="345">SUM(CY73:CY74)</f>
        <v>0</v>
      </c>
      <c r="CZ72" s="481">
        <f t="shared" si="345"/>
        <v>0</v>
      </c>
      <c r="DA72" s="481">
        <f t="shared" si="345"/>
        <v>0</v>
      </c>
      <c r="DB72" s="481">
        <f t="shared" si="345"/>
        <v>0</v>
      </c>
      <c r="DC72" s="481">
        <f t="shared" si="345"/>
        <v>0</v>
      </c>
      <c r="DD72" s="481">
        <f t="shared" si="345"/>
        <v>0</v>
      </c>
      <c r="DE72" s="481">
        <f t="shared" si="345"/>
        <v>0</v>
      </c>
      <c r="DF72" s="481">
        <f t="shared" si="345"/>
        <v>0</v>
      </c>
      <c r="DG72" s="481">
        <f t="shared" si="345"/>
        <v>0</v>
      </c>
      <c r="DH72" s="481">
        <f t="shared" si="345"/>
        <v>0</v>
      </c>
      <c r="DI72" s="481">
        <f t="shared" si="345"/>
        <v>0</v>
      </c>
      <c r="DJ72" s="481">
        <f t="shared" si="345"/>
        <v>0</v>
      </c>
      <c r="DK72" s="481">
        <f t="shared" si="345"/>
        <v>0</v>
      </c>
      <c r="DL72" s="481">
        <f t="shared" si="345"/>
        <v>0</v>
      </c>
      <c r="DM72" s="481">
        <f t="shared" si="345"/>
        <v>0</v>
      </c>
      <c r="DN72" s="481">
        <f t="shared" si="345"/>
        <v>0</v>
      </c>
      <c r="DO72" s="481">
        <f t="shared" si="345"/>
        <v>0</v>
      </c>
      <c r="DP72" s="481">
        <f t="shared" si="345"/>
        <v>0</v>
      </c>
      <c r="DQ72" s="481">
        <f t="shared" si="345"/>
        <v>0</v>
      </c>
      <c r="DR72" s="481">
        <f t="shared" si="345"/>
        <v>0</v>
      </c>
      <c r="DS72" s="481">
        <f t="shared" si="345"/>
        <v>2</v>
      </c>
      <c r="DT72" s="481">
        <f t="shared" si="345"/>
        <v>0</v>
      </c>
      <c r="DU72" s="481">
        <f t="shared" si="345"/>
        <v>0</v>
      </c>
      <c r="DV72" s="481">
        <f t="shared" si="345"/>
        <v>0</v>
      </c>
      <c r="DW72" s="481">
        <f t="shared" si="345"/>
        <v>0</v>
      </c>
      <c r="DX72" s="481">
        <f t="shared" si="345"/>
        <v>0</v>
      </c>
      <c r="DY72" s="481">
        <f t="shared" si="345"/>
        <v>0</v>
      </c>
      <c r="DZ72" s="481">
        <f t="shared" si="345"/>
        <v>0</v>
      </c>
      <c r="EA72" s="481">
        <f t="shared" si="345"/>
        <v>0</v>
      </c>
      <c r="EB72" s="481">
        <f t="shared" si="345"/>
        <v>0</v>
      </c>
    </row>
    <row r="73" spans="1:132" s="345" customFormat="1" x14ac:dyDescent="0.25">
      <c r="A73" s="341" t="s">
        <v>530</v>
      </c>
      <c r="B73" s="419" t="s">
        <v>708</v>
      </c>
      <c r="C73" s="390" t="s">
        <v>733</v>
      </c>
      <c r="D73" s="358"/>
      <c r="E73" s="369"/>
      <c r="F73" s="369"/>
      <c r="G73" s="358"/>
      <c r="H73" s="358"/>
      <c r="I73" s="358"/>
      <c r="J73" s="358"/>
      <c r="K73" s="483">
        <v>1</v>
      </c>
      <c r="L73" s="358"/>
      <c r="M73" s="358"/>
      <c r="N73" s="363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358"/>
      <c r="AO73" s="358"/>
      <c r="AP73" s="358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>
        <f>Ф6!AJ73</f>
        <v>0</v>
      </c>
      <c r="BH73" s="358"/>
      <c r="BI73" s="358"/>
      <c r="BJ73" s="358"/>
      <c r="BK73" s="358"/>
      <c r="BL73" s="358"/>
      <c r="BM73" s="358"/>
      <c r="BN73" s="358"/>
      <c r="BO73" s="358"/>
      <c r="BP73" s="484">
        <f>D73</f>
        <v>0</v>
      </c>
      <c r="BQ73" s="484">
        <f t="shared" ref="BQ73:BW73" si="346">E73</f>
        <v>0</v>
      </c>
      <c r="BR73" s="484">
        <f t="shared" si="346"/>
        <v>0</v>
      </c>
      <c r="BS73" s="484">
        <f t="shared" si="346"/>
        <v>0</v>
      </c>
      <c r="BT73" s="484">
        <f t="shared" si="346"/>
        <v>0</v>
      </c>
      <c r="BU73" s="484">
        <f t="shared" si="346"/>
        <v>0</v>
      </c>
      <c r="BV73" s="484">
        <f t="shared" si="346"/>
        <v>0</v>
      </c>
      <c r="BW73" s="484">
        <f t="shared" si="346"/>
        <v>1</v>
      </c>
      <c r="BX73" s="358"/>
      <c r="BY73" s="358"/>
      <c r="BZ73" s="358"/>
      <c r="CA73" s="358"/>
      <c r="CB73" s="358"/>
      <c r="CC73" s="358"/>
      <c r="CD73" s="358"/>
      <c r="CE73" s="358"/>
      <c r="CF73" s="358"/>
      <c r="CG73" s="358"/>
      <c r="CH73" s="358"/>
      <c r="CI73" s="358"/>
      <c r="CJ73" s="358"/>
      <c r="CK73" s="358"/>
      <c r="CL73" s="358"/>
      <c r="CM73" s="358"/>
      <c r="CN73" s="358"/>
      <c r="CO73" s="358"/>
      <c r="CP73" s="358"/>
      <c r="CQ73" s="358"/>
      <c r="CR73" s="358"/>
      <c r="CS73" s="358"/>
      <c r="CT73" s="358"/>
      <c r="CU73" s="358"/>
      <c r="CV73" s="358"/>
      <c r="CW73" s="358"/>
      <c r="CX73" s="358"/>
      <c r="CY73" s="358"/>
      <c r="CZ73" s="358"/>
      <c r="DA73" s="358"/>
      <c r="DB73" s="358"/>
      <c r="DC73" s="358"/>
      <c r="DD73" s="358"/>
      <c r="DE73" s="358"/>
      <c r="DF73" s="358"/>
      <c r="DG73" s="358"/>
      <c r="DH73" s="358"/>
      <c r="DI73" s="358"/>
      <c r="DJ73" s="358"/>
      <c r="DK73" s="358"/>
      <c r="DL73" s="351">
        <f>D73</f>
        <v>0</v>
      </c>
      <c r="DM73" s="351">
        <f t="shared" ref="DM73:DS73" si="347">E73</f>
        <v>0</v>
      </c>
      <c r="DN73" s="351">
        <f t="shared" si="347"/>
        <v>0</v>
      </c>
      <c r="DO73" s="351">
        <f t="shared" si="347"/>
        <v>0</v>
      </c>
      <c r="DP73" s="351">
        <f t="shared" si="347"/>
        <v>0</v>
      </c>
      <c r="DQ73" s="351">
        <f t="shared" si="347"/>
        <v>0</v>
      </c>
      <c r="DR73" s="351">
        <f t="shared" si="347"/>
        <v>0</v>
      </c>
      <c r="DS73" s="368">
        <f t="shared" si="347"/>
        <v>1</v>
      </c>
      <c r="DT73" s="351">
        <f t="shared" ref="DT73" si="348">AR73+BH73+DD73</f>
        <v>0</v>
      </c>
      <c r="DU73" s="351">
        <f t="shared" ref="DU73" si="349">AS73+BI73+DE73</f>
        <v>0</v>
      </c>
      <c r="DV73" s="351">
        <f t="shared" ref="DV73" si="350">AT73+BJ73+DF73</f>
        <v>0</v>
      </c>
      <c r="DW73" s="351">
        <f t="shared" ref="DW73" si="351">AU73+BK73+DG73</f>
        <v>0</v>
      </c>
      <c r="DX73" s="351">
        <f t="shared" ref="DX73" si="352">AV73+BL73+DH73</f>
        <v>0</v>
      </c>
      <c r="DY73" s="351">
        <f t="shared" ref="DY73" si="353">AW73+BM73+DI73</f>
        <v>0</v>
      </c>
      <c r="DZ73" s="371">
        <f t="shared" ref="DZ73" si="354">AX73+BN73+DJ73</f>
        <v>0</v>
      </c>
      <c r="EA73" s="371">
        <f t="shared" ref="EA73" si="355">AY73+BO73+DK73</f>
        <v>0</v>
      </c>
      <c r="EB73" s="351">
        <f t="shared" ref="EB73" si="356">AZ73+CV73+DL73</f>
        <v>0</v>
      </c>
    </row>
    <row r="74" spans="1:132" s="345" customFormat="1" x14ac:dyDescent="0.25">
      <c r="A74" s="341" t="s">
        <v>707</v>
      </c>
      <c r="B74" s="419" t="s">
        <v>709</v>
      </c>
      <c r="C74" s="390" t="s">
        <v>734</v>
      </c>
      <c r="D74" s="358"/>
      <c r="E74" s="369"/>
      <c r="F74" s="369"/>
      <c r="G74" s="358"/>
      <c r="H74" s="358"/>
      <c r="I74" s="358"/>
      <c r="J74" s="358"/>
      <c r="K74" s="483">
        <v>1</v>
      </c>
      <c r="L74" s="358"/>
      <c r="M74" s="358"/>
      <c r="N74" s="363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>
        <f>Ф6!AJ74</f>
        <v>0</v>
      </c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484">
        <f>D74</f>
        <v>0</v>
      </c>
      <c r="CG74" s="484">
        <f t="shared" ref="CG74:CM74" si="357">E74</f>
        <v>0</v>
      </c>
      <c r="CH74" s="484">
        <f t="shared" si="357"/>
        <v>0</v>
      </c>
      <c r="CI74" s="484">
        <f t="shared" si="357"/>
        <v>0</v>
      </c>
      <c r="CJ74" s="484">
        <f t="shared" si="357"/>
        <v>0</v>
      </c>
      <c r="CK74" s="484">
        <f t="shared" si="357"/>
        <v>0</v>
      </c>
      <c r="CL74" s="484">
        <f t="shared" si="357"/>
        <v>0</v>
      </c>
      <c r="CM74" s="484">
        <f t="shared" si="357"/>
        <v>1</v>
      </c>
      <c r="CN74" s="358"/>
      <c r="CO74" s="358"/>
      <c r="CP74" s="358"/>
      <c r="CQ74" s="358"/>
      <c r="CR74" s="358"/>
      <c r="CS74" s="358"/>
      <c r="CT74" s="358"/>
      <c r="CU74" s="358"/>
      <c r="CV74" s="358"/>
      <c r="CW74" s="358"/>
      <c r="CX74" s="358"/>
      <c r="CY74" s="358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1">
        <f>D74</f>
        <v>0</v>
      </c>
      <c r="DM74" s="351">
        <f t="shared" ref="DM74" si="358">E74</f>
        <v>0</v>
      </c>
      <c r="DN74" s="351">
        <f t="shared" ref="DN74" si="359">F74</f>
        <v>0</v>
      </c>
      <c r="DO74" s="351">
        <f t="shared" ref="DO74" si="360">G74</f>
        <v>0</v>
      </c>
      <c r="DP74" s="351">
        <f t="shared" ref="DP74" si="361">H74</f>
        <v>0</v>
      </c>
      <c r="DQ74" s="351">
        <f t="shared" ref="DQ74" si="362">I74</f>
        <v>0</v>
      </c>
      <c r="DR74" s="351">
        <f t="shared" ref="DR74" si="363">J74</f>
        <v>0</v>
      </c>
      <c r="DS74" s="368">
        <f t="shared" ref="DS74" si="364">K74</f>
        <v>1</v>
      </c>
      <c r="DT74" s="351">
        <f t="shared" ref="DT74" si="365">AR74+BH74+DD74</f>
        <v>0</v>
      </c>
      <c r="DU74" s="351">
        <f t="shared" ref="DU74" si="366">AS74+BI74+DE74</f>
        <v>0</v>
      </c>
      <c r="DV74" s="351">
        <f t="shared" ref="DV74" si="367">AT74+BJ74+DF74</f>
        <v>0</v>
      </c>
      <c r="DW74" s="351">
        <f t="shared" ref="DW74" si="368">AU74+BK74+DG74</f>
        <v>0</v>
      </c>
      <c r="DX74" s="351">
        <f t="shared" ref="DX74" si="369">AV74+BL74+DH74</f>
        <v>0</v>
      </c>
      <c r="DY74" s="351">
        <f t="shared" ref="DY74" si="370">AW74+BM74+DI74</f>
        <v>0</v>
      </c>
      <c r="DZ74" s="371">
        <f t="shared" ref="DZ74" si="371">AX74+BN74+DJ74</f>
        <v>0</v>
      </c>
      <c r="EA74" s="371">
        <f t="shared" ref="EA74" si="372">AY74+BO74+DK74</f>
        <v>0</v>
      </c>
      <c r="EB74" s="351">
        <f t="shared" ref="EB74" si="373">AZ74+CV74+DL74</f>
        <v>0</v>
      </c>
    </row>
    <row r="76" spans="1:132" x14ac:dyDescent="0.25">
      <c r="J76" s="55"/>
      <c r="K76"/>
      <c r="M76" s="55"/>
      <c r="N76"/>
    </row>
    <row r="79" spans="1:132" x14ac:dyDescent="0.25">
      <c r="J79" s="55"/>
      <c r="K79"/>
      <c r="M79" s="55"/>
      <c r="N79"/>
    </row>
    <row r="80" spans="1:132" x14ac:dyDescent="0.25">
      <c r="J80" s="55"/>
      <c r="K80"/>
      <c r="M80" s="55"/>
      <c r="N80"/>
    </row>
    <row r="81" spans="1:37" ht="18.75" x14ac:dyDescent="0.25">
      <c r="B81" s="278" t="s">
        <v>77</v>
      </c>
      <c r="C81" s="279"/>
      <c r="D81" s="279"/>
      <c r="E81" s="279" t="s">
        <v>668</v>
      </c>
      <c r="J81" s="55"/>
      <c r="K81"/>
      <c r="M81" s="55"/>
      <c r="N81"/>
    </row>
    <row r="82" spans="1:37" ht="18.75" x14ac:dyDescent="0.25">
      <c r="B82" s="278"/>
      <c r="C82" s="279"/>
      <c r="D82" s="279"/>
      <c r="E82" s="279"/>
      <c r="J82" s="55"/>
      <c r="K82"/>
      <c r="M82" s="55"/>
      <c r="N82"/>
    </row>
    <row r="83" spans="1:37" ht="18.75" x14ac:dyDescent="0.25">
      <c r="B83" s="278"/>
      <c r="C83" s="279"/>
      <c r="D83" s="279"/>
      <c r="E83" s="279"/>
      <c r="J83" s="55"/>
      <c r="K83"/>
      <c r="M83" s="55"/>
      <c r="N83"/>
    </row>
    <row r="84" spans="1:37" x14ac:dyDescent="0.25">
      <c r="J84" s="55"/>
      <c r="K84"/>
      <c r="M84" s="55"/>
      <c r="N84"/>
    </row>
    <row r="85" spans="1:37" x14ac:dyDescent="0.25">
      <c r="J85" s="55"/>
      <c r="K85"/>
      <c r="M85" s="55"/>
      <c r="N85"/>
    </row>
    <row r="86" spans="1:37" s="41" customFormat="1" x14ac:dyDescent="0.25">
      <c r="A86" s="613" t="s">
        <v>207</v>
      </c>
      <c r="B86" s="613"/>
      <c r="C86" s="613"/>
      <c r="D86" s="613"/>
      <c r="E86" s="613"/>
      <c r="F86" s="613"/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613"/>
      <c r="R86" s="297"/>
      <c r="S86" s="136"/>
      <c r="T86" s="161"/>
      <c r="U86" s="161"/>
      <c r="V86" s="161"/>
      <c r="W86" s="161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</row>
    <row r="87" spans="1:37" s="41" customFormat="1" x14ac:dyDescent="0.25">
      <c r="A87" s="614" t="s">
        <v>208</v>
      </c>
      <c r="B87" s="614"/>
      <c r="C87" s="614"/>
      <c r="D87" s="614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614"/>
      <c r="R87" s="298"/>
      <c r="S87" s="139"/>
      <c r="T87" s="162"/>
      <c r="U87" s="162"/>
      <c r="V87" s="162"/>
      <c r="W87" s="162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</row>
    <row r="88" spans="1:37" s="41" customFormat="1" x14ac:dyDescent="0.25">
      <c r="A88" s="614" t="s">
        <v>209</v>
      </c>
      <c r="B88" s="614"/>
      <c r="C88" s="614"/>
      <c r="D88" s="614"/>
      <c r="E88" s="614"/>
      <c r="F88" s="614"/>
      <c r="G88" s="614"/>
      <c r="H88" s="614"/>
      <c r="I88" s="614"/>
      <c r="J88" s="614"/>
      <c r="K88" s="614"/>
      <c r="L88" s="614"/>
      <c r="M88" s="614"/>
      <c r="N88" s="614"/>
      <c r="O88" s="614"/>
      <c r="P88" s="614"/>
      <c r="Q88" s="614"/>
      <c r="R88" s="298"/>
      <c r="S88" s="139"/>
      <c r="T88" s="162"/>
      <c r="U88" s="162"/>
      <c r="V88" s="162"/>
      <c r="W88" s="162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</row>
    <row r="89" spans="1:37" s="41" customFormat="1" x14ac:dyDescent="0.25">
      <c r="A89" s="614" t="s">
        <v>210</v>
      </c>
      <c r="B89" s="614"/>
      <c r="C89" s="614"/>
      <c r="D89" s="614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  <c r="Q89" s="614"/>
      <c r="R89" s="298"/>
      <c r="S89" s="139"/>
      <c r="T89" s="162"/>
      <c r="U89" s="162"/>
      <c r="V89" s="162"/>
      <c r="W89" s="162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</row>
  </sheetData>
  <mergeCells count="44">
    <mergeCell ref="EB47:EB48"/>
    <mergeCell ref="C11:C14"/>
    <mergeCell ref="D11:S12"/>
    <mergeCell ref="T11:AI12"/>
    <mergeCell ref="AJ11:EA11"/>
    <mergeCell ref="DT13:EA13"/>
    <mergeCell ref="D13:K13"/>
    <mergeCell ref="L13:S13"/>
    <mergeCell ref="T13:AA13"/>
    <mergeCell ref="AB13:AI13"/>
    <mergeCell ref="AJ13:AQ13"/>
    <mergeCell ref="AR13:AY13"/>
    <mergeCell ref="AZ13:BG13"/>
    <mergeCell ref="BH13:BO13"/>
    <mergeCell ref="CV13:DC13"/>
    <mergeCell ref="DD13:DK13"/>
    <mergeCell ref="DL13:DS13"/>
    <mergeCell ref="EB11:EB14"/>
    <mergeCell ref="AJ12:AY12"/>
    <mergeCell ref="AZ12:BO12"/>
    <mergeCell ref="CV12:DK12"/>
    <mergeCell ref="DL12:EA12"/>
    <mergeCell ref="CF12:CU12"/>
    <mergeCell ref="CF13:CM13"/>
    <mergeCell ref="CN13:CU13"/>
    <mergeCell ref="BP12:CE12"/>
    <mergeCell ref="BP13:BW13"/>
    <mergeCell ref="BX13:CE13"/>
    <mergeCell ref="A86:Q86"/>
    <mergeCell ref="A87:Q87"/>
    <mergeCell ref="A88:Q88"/>
    <mergeCell ref="A89:Q89"/>
    <mergeCell ref="A1:AI1"/>
    <mergeCell ref="A2:AI2"/>
    <mergeCell ref="A3:AI3"/>
    <mergeCell ref="A4:AI4"/>
    <mergeCell ref="A5:AI5"/>
    <mergeCell ref="A6:AI6"/>
    <mergeCell ref="A10:EA10"/>
    <mergeCell ref="A11:A14"/>
    <mergeCell ref="A7:AI7"/>
    <mergeCell ref="A8:AI8"/>
    <mergeCell ref="A9:AI9"/>
    <mergeCell ref="B11:B14"/>
  </mergeCells>
  <pageMargins left="0.70866141732283472" right="0.70866141732283472" top="0.74803149606299213" bottom="0.74803149606299213" header="0.31496062992125984" footer="0.31496062992125984"/>
  <pageSetup paperSize="8" scale="71" fitToWidth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0"/>
  <sheetViews>
    <sheetView topLeftCell="A42" zoomScale="70" zoomScaleNormal="70" workbookViewId="0">
      <selection activeCell="A48" sqref="A48:C51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35.7109375" style="50" customWidth="1"/>
    <col min="6" max="6" width="7.140625" style="50" bestFit="1" customWidth="1"/>
    <col min="7" max="8" width="35.7109375" customWidth="1"/>
    <col min="9" max="9" width="7.140625" bestFit="1" customWidth="1"/>
    <col min="10" max="10" width="5.7109375" style="55" bestFit="1" customWidth="1"/>
    <col min="11" max="11" width="13.85546875" bestFit="1" customWidth="1"/>
  </cols>
  <sheetData>
    <row r="1" spans="1:11" s="216" customFormat="1" x14ac:dyDescent="0.25">
      <c r="A1" s="668" t="s">
        <v>400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1" s="216" customFormat="1" x14ac:dyDescent="0.25"/>
    <row r="3" spans="1:11" s="216" customFormat="1" x14ac:dyDescent="0.25">
      <c r="A3" s="669" t="s">
        <v>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216" customFormat="1" x14ac:dyDescent="0.25">
      <c r="A4" s="669" t="s">
        <v>124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s="216" customFormat="1" x14ac:dyDescent="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s="216" customFormat="1" x14ac:dyDescent="0.25">
      <c r="A6" s="656" t="s">
        <v>743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</row>
    <row r="7" spans="1:11" s="216" customFormat="1" x14ac:dyDescent="0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s="216" customFormat="1" ht="16.5" customHeight="1" x14ac:dyDescent="0.25">
      <c r="A8" s="656"/>
      <c r="B8" s="656"/>
      <c r="C8" s="656"/>
      <c r="D8" s="656"/>
      <c r="E8" s="656"/>
      <c r="F8" s="656"/>
      <c r="G8" s="656"/>
      <c r="H8" s="656"/>
      <c r="I8" s="656"/>
      <c r="J8" s="656"/>
      <c r="K8" s="656"/>
    </row>
    <row r="9" spans="1:11" s="216" customFormat="1" ht="16.5" customHeight="1" x14ac:dyDescent="0.25">
      <c r="A9" s="656" t="s">
        <v>401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</row>
    <row r="10" spans="1:11" s="216" customFormat="1" ht="18" customHeight="1" x14ac:dyDescent="0.25">
      <c r="A10" s="657" t="s">
        <v>402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7"/>
    </row>
    <row r="11" spans="1:11" s="216" customFormat="1" x14ac:dyDescent="0.25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173"/>
    </row>
    <row r="12" spans="1:11" s="216" customFormat="1" ht="53.25" customHeight="1" x14ac:dyDescent="0.25">
      <c r="A12" s="658" t="s">
        <v>4</v>
      </c>
      <c r="B12" s="644" t="s">
        <v>5</v>
      </c>
      <c r="C12" s="644" t="s">
        <v>403</v>
      </c>
      <c r="D12" s="661" t="s">
        <v>404</v>
      </c>
      <c r="E12" s="662"/>
      <c r="F12" s="662"/>
      <c r="G12" s="662"/>
      <c r="H12" s="662"/>
      <c r="I12" s="662"/>
      <c r="J12" s="663"/>
      <c r="K12" s="667" t="s">
        <v>405</v>
      </c>
    </row>
    <row r="13" spans="1:11" s="216" customFormat="1" ht="18" customHeight="1" x14ac:dyDescent="0.25">
      <c r="A13" s="659"/>
      <c r="B13" s="644"/>
      <c r="C13" s="644"/>
      <c r="D13" s="664"/>
      <c r="E13" s="665"/>
      <c r="F13" s="665"/>
      <c r="G13" s="665"/>
      <c r="H13" s="665"/>
      <c r="I13" s="665"/>
      <c r="J13" s="666"/>
      <c r="K13" s="667"/>
    </row>
    <row r="14" spans="1:11" s="216" customFormat="1" ht="31.5" customHeight="1" x14ac:dyDescent="0.25">
      <c r="A14" s="659"/>
      <c r="B14" s="644"/>
      <c r="C14" s="644"/>
      <c r="D14" s="644" t="s">
        <v>406</v>
      </c>
      <c r="E14" s="644"/>
      <c r="F14" s="644"/>
      <c r="G14" s="644" t="s">
        <v>406</v>
      </c>
      <c r="H14" s="644"/>
      <c r="I14" s="644"/>
      <c r="J14" s="175" t="s">
        <v>206</v>
      </c>
      <c r="K14" s="667"/>
    </row>
    <row r="15" spans="1:11" s="216" customFormat="1" ht="81" customHeight="1" x14ac:dyDescent="0.25">
      <c r="A15" s="660"/>
      <c r="B15" s="644"/>
      <c r="C15" s="644"/>
      <c r="D15" s="175" t="s">
        <v>407</v>
      </c>
      <c r="E15" s="175" t="s">
        <v>407</v>
      </c>
      <c r="F15" s="175" t="s">
        <v>206</v>
      </c>
      <c r="G15" s="175" t="s">
        <v>407</v>
      </c>
      <c r="H15" s="175" t="s">
        <v>407</v>
      </c>
      <c r="I15" s="218" t="s">
        <v>206</v>
      </c>
      <c r="J15" s="218" t="s">
        <v>206</v>
      </c>
      <c r="K15" s="667"/>
    </row>
    <row r="16" spans="1:11" s="216" customFormat="1" x14ac:dyDescent="0.25">
      <c r="A16" s="219">
        <v>1</v>
      </c>
      <c r="B16" s="219">
        <v>2</v>
      </c>
      <c r="C16" s="219">
        <v>3</v>
      </c>
      <c r="D16" s="220" t="s">
        <v>320</v>
      </c>
      <c r="E16" s="220" t="s">
        <v>321</v>
      </c>
      <c r="F16" s="220" t="s">
        <v>408</v>
      </c>
      <c r="G16" s="220" t="s">
        <v>327</v>
      </c>
      <c r="H16" s="220" t="s">
        <v>328</v>
      </c>
      <c r="I16" s="220" t="s">
        <v>409</v>
      </c>
      <c r="J16" s="220" t="s">
        <v>23</v>
      </c>
      <c r="K16" s="220" t="s">
        <v>348</v>
      </c>
    </row>
    <row r="17" spans="1:11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0</v>
      </c>
      <c r="E17" s="184">
        <f t="shared" ref="E17:K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</row>
    <row r="18" spans="1:11" s="189" customFormat="1" x14ac:dyDescent="0.25">
      <c r="A18" s="186" t="s">
        <v>81</v>
      </c>
      <c r="B18" s="9" t="s">
        <v>36</v>
      </c>
      <c r="C18" s="187">
        <v>0</v>
      </c>
      <c r="D18" s="187">
        <f>D19+D39</f>
        <v>0</v>
      </c>
      <c r="E18" s="187">
        <f t="shared" ref="E18:K18" si="1">E19+E39</f>
        <v>0</v>
      </c>
      <c r="F18" s="187">
        <f t="shared" si="1"/>
        <v>0</v>
      </c>
      <c r="G18" s="187">
        <f t="shared" si="1"/>
        <v>0</v>
      </c>
      <c r="H18" s="187">
        <f t="shared" si="1"/>
        <v>0</v>
      </c>
      <c r="I18" s="187">
        <f t="shared" si="1"/>
        <v>0</v>
      </c>
      <c r="J18" s="187">
        <f t="shared" si="1"/>
        <v>0</v>
      </c>
      <c r="K18" s="187">
        <f t="shared" si="1"/>
        <v>0</v>
      </c>
    </row>
    <row r="19" spans="1:11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K19" si="2">E36</f>
        <v>0</v>
      </c>
      <c r="F19" s="184">
        <f t="shared" si="2"/>
        <v>0</v>
      </c>
      <c r="G19" s="184">
        <f t="shared" si="2"/>
        <v>0</v>
      </c>
      <c r="H19" s="184">
        <f t="shared" si="2"/>
        <v>0</v>
      </c>
      <c r="I19" s="184">
        <f t="shared" si="2"/>
        <v>0</v>
      </c>
      <c r="J19" s="184">
        <f t="shared" si="2"/>
        <v>0</v>
      </c>
      <c r="K19" s="184">
        <f t="shared" si="2"/>
        <v>0</v>
      </c>
    </row>
    <row r="20" spans="1:11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</row>
    <row r="25" spans="1:11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11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</row>
    <row r="27" spans="1:11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</row>
    <row r="28" spans="1:11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1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1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</row>
    <row r="34" spans="1:11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</row>
    <row r="35" spans="1:11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 s="196" customFormat="1" ht="63" collapsed="1" x14ac:dyDescent="0.25">
      <c r="A36" s="194" t="s">
        <v>39</v>
      </c>
      <c r="B36" s="65" t="s">
        <v>40</v>
      </c>
      <c r="C36" s="195">
        <v>0</v>
      </c>
      <c r="D36" s="195">
        <f>D37</f>
        <v>0</v>
      </c>
      <c r="E36" s="195">
        <f t="shared" ref="E36:K36" si="3">E37</f>
        <v>0</v>
      </c>
      <c r="F36" s="195">
        <f t="shared" si="3"/>
        <v>0</v>
      </c>
      <c r="G36" s="195">
        <f t="shared" si="3"/>
        <v>0</v>
      </c>
      <c r="H36" s="195">
        <f t="shared" si="3"/>
        <v>0</v>
      </c>
      <c r="I36" s="195">
        <f t="shared" si="3"/>
        <v>0</v>
      </c>
      <c r="J36" s="195">
        <f t="shared" si="3"/>
        <v>0</v>
      </c>
      <c r="K36" s="195">
        <f t="shared" si="3"/>
        <v>0</v>
      </c>
    </row>
    <row r="37" spans="1:11" s="362" customFormat="1" x14ac:dyDescent="0.25">
      <c r="A37" s="197"/>
      <c r="B37" s="11"/>
      <c r="C37" s="351"/>
      <c r="D37" s="351"/>
      <c r="E37" s="351"/>
      <c r="F37" s="351"/>
      <c r="G37" s="351"/>
      <c r="H37" s="351"/>
      <c r="I37" s="351"/>
      <c r="J37" s="351"/>
      <c r="K37" s="351"/>
    </row>
    <row r="38" spans="1:11" s="193" customFormat="1" ht="47.25" hidden="1" x14ac:dyDescent="0.25">
      <c r="A38" s="190" t="s">
        <v>111</v>
      </c>
      <c r="B38" s="10" t="s">
        <v>41</v>
      </c>
      <c r="C38" s="191"/>
      <c r="D38" s="191"/>
      <c r="E38" s="191"/>
      <c r="F38" s="191"/>
      <c r="G38" s="191"/>
      <c r="H38" s="191"/>
      <c r="I38" s="191"/>
      <c r="J38" s="191"/>
      <c r="K38" s="191"/>
    </row>
    <row r="39" spans="1:11" s="185" customFormat="1" ht="31.5" x14ac:dyDescent="0.25">
      <c r="A39" s="183" t="s">
        <v>42</v>
      </c>
      <c r="B39" s="64" t="s">
        <v>43</v>
      </c>
      <c r="C39" s="184">
        <v>0</v>
      </c>
      <c r="D39" s="184">
        <f t="shared" ref="D39:K39" si="4">D40+D46+D53</f>
        <v>0</v>
      </c>
      <c r="E39" s="184">
        <f t="shared" si="4"/>
        <v>0</v>
      </c>
      <c r="F39" s="184">
        <f t="shared" si="4"/>
        <v>0</v>
      </c>
      <c r="G39" s="184">
        <f t="shared" si="4"/>
        <v>0</v>
      </c>
      <c r="H39" s="184">
        <f t="shared" si="4"/>
        <v>0</v>
      </c>
      <c r="I39" s="184">
        <f t="shared" si="4"/>
        <v>0</v>
      </c>
      <c r="J39" s="184">
        <f t="shared" si="4"/>
        <v>0</v>
      </c>
      <c r="K39" s="184">
        <f t="shared" si="4"/>
        <v>0</v>
      </c>
    </row>
    <row r="40" spans="1:11" s="196" customFormat="1" ht="47.25" x14ac:dyDescent="0.25">
      <c r="A40" s="194" t="s">
        <v>79</v>
      </c>
      <c r="B40" s="65" t="s">
        <v>80</v>
      </c>
      <c r="C40" s="195">
        <v>0</v>
      </c>
      <c r="D40" s="195">
        <f>D41</f>
        <v>0</v>
      </c>
      <c r="E40" s="195">
        <f t="shared" ref="E40:K40" si="5">E41</f>
        <v>0</v>
      </c>
      <c r="F40" s="195">
        <f t="shared" si="5"/>
        <v>0</v>
      </c>
      <c r="G40" s="195">
        <f t="shared" si="5"/>
        <v>0</v>
      </c>
      <c r="H40" s="195">
        <f t="shared" si="5"/>
        <v>0</v>
      </c>
      <c r="I40" s="195">
        <f t="shared" si="5"/>
        <v>0</v>
      </c>
      <c r="J40" s="195">
        <f t="shared" si="5"/>
        <v>0</v>
      </c>
      <c r="K40" s="195">
        <f t="shared" si="5"/>
        <v>0</v>
      </c>
    </row>
    <row r="41" spans="1:11" s="200" customFormat="1" ht="31.5" x14ac:dyDescent="0.25">
      <c r="A41" s="197" t="s">
        <v>44</v>
      </c>
      <c r="B41" s="11" t="s">
        <v>45</v>
      </c>
      <c r="C41" s="198">
        <v>0</v>
      </c>
      <c r="D41" s="198">
        <f>D42</f>
        <v>0</v>
      </c>
      <c r="E41" s="198">
        <f t="shared" ref="E41:K41" si="6">E42</f>
        <v>0</v>
      </c>
      <c r="F41" s="198">
        <f t="shared" si="6"/>
        <v>0</v>
      </c>
      <c r="G41" s="198">
        <f t="shared" si="6"/>
        <v>0</v>
      </c>
      <c r="H41" s="198">
        <f t="shared" si="6"/>
        <v>0</v>
      </c>
      <c r="I41" s="198">
        <f t="shared" si="6"/>
        <v>0</v>
      </c>
      <c r="J41" s="198">
        <f t="shared" si="6"/>
        <v>0</v>
      </c>
      <c r="K41" s="198">
        <f t="shared" si="6"/>
        <v>0</v>
      </c>
    </row>
    <row r="42" spans="1:11" s="362" customFormat="1" x14ac:dyDescent="0.25">
      <c r="A42" s="14" t="s">
        <v>46</v>
      </c>
      <c r="B42" s="417" t="s">
        <v>735</v>
      </c>
      <c r="C42" s="390" t="s">
        <v>721</v>
      </c>
      <c r="D42" s="351">
        <v>0</v>
      </c>
      <c r="E42" s="351">
        <v>0</v>
      </c>
      <c r="F42" s="351">
        <v>0</v>
      </c>
      <c r="G42" s="351">
        <v>0</v>
      </c>
      <c r="H42" s="351">
        <v>0</v>
      </c>
      <c r="I42" s="351">
        <v>0</v>
      </c>
      <c r="J42" s="351">
        <v>0</v>
      </c>
      <c r="K42" s="351">
        <v>0</v>
      </c>
    </row>
    <row r="43" spans="1:11" s="362" customFormat="1" x14ac:dyDescent="0.25">
      <c r="A43" s="14" t="s">
        <v>527</v>
      </c>
      <c r="B43" s="419" t="s">
        <v>736</v>
      </c>
      <c r="C43" s="390" t="s">
        <v>722</v>
      </c>
      <c r="D43" s="351"/>
      <c r="E43" s="351"/>
      <c r="F43" s="351"/>
      <c r="G43" s="351"/>
      <c r="H43" s="351"/>
      <c r="I43" s="351"/>
      <c r="J43" s="351"/>
      <c r="K43" s="351"/>
    </row>
    <row r="44" spans="1:11" s="362" customFormat="1" x14ac:dyDescent="0.25">
      <c r="A44" s="14" t="s">
        <v>700</v>
      </c>
      <c r="B44" s="419" t="s">
        <v>737</v>
      </c>
      <c r="C44" s="390" t="s">
        <v>723</v>
      </c>
      <c r="D44" s="351"/>
      <c r="E44" s="351"/>
      <c r="F44" s="351"/>
      <c r="G44" s="351"/>
      <c r="H44" s="351"/>
      <c r="I44" s="351"/>
      <c r="J44" s="351"/>
      <c r="K44" s="351"/>
    </row>
    <row r="45" spans="1:11" s="200" customFormat="1" ht="31.5" x14ac:dyDescent="0.25">
      <c r="A45" s="197" t="s">
        <v>112</v>
      </c>
      <c r="B45" s="11" t="s">
        <v>113</v>
      </c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s="196" customFormat="1" ht="31.5" x14ac:dyDescent="0.25">
      <c r="A46" s="194" t="s">
        <v>47</v>
      </c>
      <c r="B46" s="65" t="s">
        <v>48</v>
      </c>
      <c r="C46" s="195">
        <v>0</v>
      </c>
      <c r="D46" s="195">
        <f>D47</f>
        <v>0</v>
      </c>
      <c r="E46" s="195">
        <f t="shared" ref="E46:K46" si="7">E47</f>
        <v>0</v>
      </c>
      <c r="F46" s="195">
        <f t="shared" si="7"/>
        <v>0</v>
      </c>
      <c r="G46" s="195">
        <f t="shared" si="7"/>
        <v>0</v>
      </c>
      <c r="H46" s="195">
        <f t="shared" si="7"/>
        <v>0</v>
      </c>
      <c r="I46" s="195">
        <f t="shared" si="7"/>
        <v>0</v>
      </c>
      <c r="J46" s="195">
        <f t="shared" si="7"/>
        <v>0</v>
      </c>
      <c r="K46" s="195">
        <f t="shared" si="7"/>
        <v>0</v>
      </c>
    </row>
    <row r="47" spans="1:11" s="200" customFormat="1" x14ac:dyDescent="0.25">
      <c r="A47" s="197" t="s">
        <v>74</v>
      </c>
      <c r="B47" s="11" t="s">
        <v>75</v>
      </c>
      <c r="C47" s="198">
        <v>0</v>
      </c>
      <c r="D47" s="198">
        <f t="shared" ref="D47:K47" si="8">D51</f>
        <v>0</v>
      </c>
      <c r="E47" s="198">
        <f t="shared" si="8"/>
        <v>0</v>
      </c>
      <c r="F47" s="198">
        <f t="shared" si="8"/>
        <v>0</v>
      </c>
      <c r="G47" s="198">
        <f t="shared" si="8"/>
        <v>0</v>
      </c>
      <c r="H47" s="198">
        <f t="shared" si="8"/>
        <v>0</v>
      </c>
      <c r="I47" s="198">
        <f t="shared" si="8"/>
        <v>0</v>
      </c>
      <c r="J47" s="198">
        <f t="shared" si="8"/>
        <v>0</v>
      </c>
      <c r="K47" s="198">
        <f t="shared" si="8"/>
        <v>0</v>
      </c>
    </row>
    <row r="48" spans="1:11" s="200" customFormat="1" ht="25.5" x14ac:dyDescent="0.25">
      <c r="A48" s="14" t="s">
        <v>76</v>
      </c>
      <c r="B48" s="417" t="s">
        <v>738</v>
      </c>
      <c r="C48" s="390" t="s">
        <v>724</v>
      </c>
      <c r="D48" s="198"/>
      <c r="E48" s="198"/>
      <c r="F48" s="198"/>
      <c r="G48" s="198"/>
      <c r="H48" s="198"/>
      <c r="I48" s="198"/>
      <c r="J48" s="198"/>
      <c r="K48" s="198"/>
    </row>
    <row r="49" spans="1:11" s="200" customFormat="1" x14ac:dyDescent="0.25">
      <c r="A49" s="14" t="s">
        <v>659</v>
      </c>
      <c r="B49" s="417" t="s">
        <v>739</v>
      </c>
      <c r="C49" s="390" t="s">
        <v>725</v>
      </c>
      <c r="D49" s="198"/>
      <c r="E49" s="198"/>
      <c r="F49" s="198"/>
      <c r="G49" s="198"/>
      <c r="H49" s="198"/>
      <c r="I49" s="198"/>
      <c r="J49" s="198"/>
      <c r="K49" s="198"/>
    </row>
    <row r="50" spans="1:11" s="200" customFormat="1" x14ac:dyDescent="0.25">
      <c r="A50" s="14" t="s">
        <v>661</v>
      </c>
      <c r="B50" s="417" t="s">
        <v>740</v>
      </c>
      <c r="C50" s="390" t="s">
        <v>726</v>
      </c>
      <c r="D50" s="198"/>
      <c r="E50" s="198"/>
      <c r="F50" s="198"/>
      <c r="G50" s="198"/>
      <c r="H50" s="198"/>
      <c r="I50" s="198"/>
      <c r="J50" s="198"/>
      <c r="K50" s="198"/>
    </row>
    <row r="51" spans="1:11" s="362" customFormat="1" ht="38.25" x14ac:dyDescent="0.25">
      <c r="A51" s="14" t="s">
        <v>662</v>
      </c>
      <c r="B51" s="417" t="s">
        <v>741</v>
      </c>
      <c r="C51" s="390" t="s">
        <v>727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</row>
    <row r="52" spans="1:11" s="200" customFormat="1" ht="31.5" hidden="1" x14ac:dyDescent="0.25">
      <c r="A52" s="197" t="s">
        <v>114</v>
      </c>
      <c r="B52" s="11" t="s">
        <v>115</v>
      </c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s="196" customFormat="1" ht="31.5" x14ac:dyDescent="0.25">
      <c r="A53" s="194" t="s">
        <v>116</v>
      </c>
      <c r="B53" s="65" t="s">
        <v>117</v>
      </c>
      <c r="C53" s="195">
        <v>0</v>
      </c>
      <c r="D53" s="195">
        <f>D63</f>
        <v>0</v>
      </c>
      <c r="E53" s="195">
        <f t="shared" ref="E53:K53" si="9">E63</f>
        <v>0</v>
      </c>
      <c r="F53" s="195">
        <f t="shared" si="9"/>
        <v>0</v>
      </c>
      <c r="G53" s="195">
        <f t="shared" si="9"/>
        <v>0</v>
      </c>
      <c r="H53" s="195">
        <f t="shared" si="9"/>
        <v>0</v>
      </c>
      <c r="I53" s="195">
        <f t="shared" si="9"/>
        <v>0</v>
      </c>
      <c r="J53" s="195">
        <f t="shared" si="9"/>
        <v>0</v>
      </c>
      <c r="K53" s="195">
        <f t="shared" si="9"/>
        <v>0</v>
      </c>
    </row>
    <row r="54" spans="1:11" s="200" customFormat="1" ht="31.5" outlineLevel="1" x14ac:dyDescent="0.25">
      <c r="A54" s="197" t="s">
        <v>118</v>
      </c>
      <c r="B54" s="11" t="s">
        <v>119</v>
      </c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s="200" customFormat="1" outlineLevel="1" x14ac:dyDescent="0.25">
      <c r="A55" s="14" t="s">
        <v>701</v>
      </c>
      <c r="B55" s="421" t="s">
        <v>706</v>
      </c>
      <c r="C55" s="390" t="s">
        <v>728</v>
      </c>
      <c r="D55" s="198"/>
      <c r="E55" s="198"/>
      <c r="F55" s="198"/>
      <c r="G55" s="198"/>
      <c r="H55" s="198"/>
      <c r="I55" s="198"/>
      <c r="J55" s="198"/>
      <c r="K55" s="198"/>
    </row>
    <row r="56" spans="1:11" s="200" customFormat="1" outlineLevel="1" x14ac:dyDescent="0.25">
      <c r="A56" s="14" t="s">
        <v>702</v>
      </c>
      <c r="B56" s="421" t="s">
        <v>706</v>
      </c>
      <c r="C56" s="390" t="s">
        <v>729</v>
      </c>
      <c r="D56" s="198"/>
      <c r="E56" s="198"/>
      <c r="F56" s="198"/>
      <c r="G56" s="198"/>
      <c r="H56" s="198"/>
      <c r="I56" s="198"/>
      <c r="J56" s="198"/>
      <c r="K56" s="198"/>
    </row>
    <row r="57" spans="1:11" s="200" customFormat="1" outlineLevel="1" x14ac:dyDescent="0.25">
      <c r="A57" s="14" t="s">
        <v>703</v>
      </c>
      <c r="B57" s="421" t="s">
        <v>706</v>
      </c>
      <c r="C57" s="390" t="s">
        <v>730</v>
      </c>
      <c r="D57" s="198"/>
      <c r="E57" s="198"/>
      <c r="F57" s="198"/>
      <c r="G57" s="198"/>
      <c r="H57" s="198"/>
      <c r="I57" s="198"/>
      <c r="J57" s="198"/>
      <c r="K57" s="198"/>
    </row>
    <row r="58" spans="1:11" s="200" customFormat="1" outlineLevel="1" x14ac:dyDescent="0.25">
      <c r="A58" s="14" t="s">
        <v>704</v>
      </c>
      <c r="B58" s="421" t="s">
        <v>706</v>
      </c>
      <c r="C58" s="390" t="s">
        <v>731</v>
      </c>
      <c r="D58" s="198"/>
      <c r="E58" s="198"/>
      <c r="F58" s="198"/>
      <c r="G58" s="198"/>
      <c r="H58" s="198"/>
      <c r="I58" s="198"/>
      <c r="J58" s="198"/>
      <c r="K58" s="198"/>
    </row>
    <row r="59" spans="1:11" s="200" customFormat="1" outlineLevel="1" x14ac:dyDescent="0.25">
      <c r="A59" s="14" t="s">
        <v>705</v>
      </c>
      <c r="B59" s="421" t="s">
        <v>706</v>
      </c>
      <c r="C59" s="390" t="s">
        <v>732</v>
      </c>
      <c r="D59" s="198"/>
      <c r="E59" s="198"/>
      <c r="F59" s="198"/>
      <c r="G59" s="198"/>
      <c r="H59" s="198"/>
      <c r="I59" s="198"/>
      <c r="J59" s="198"/>
      <c r="K59" s="198"/>
    </row>
    <row r="60" spans="1:11" s="200" customFormat="1" ht="31.5" outlineLevel="1" x14ac:dyDescent="0.25">
      <c r="A60" s="197" t="s">
        <v>120</v>
      </c>
      <c r="B60" s="11" t="s">
        <v>49</v>
      </c>
      <c r="C60" s="198"/>
      <c r="D60" s="198"/>
      <c r="E60" s="198"/>
      <c r="F60" s="198"/>
      <c r="G60" s="198"/>
      <c r="H60" s="198"/>
      <c r="I60" s="198"/>
      <c r="J60" s="198"/>
      <c r="K60" s="198"/>
    </row>
    <row r="61" spans="1:11" s="200" customFormat="1" outlineLevel="1" x14ac:dyDescent="0.25">
      <c r="A61" s="197" t="s">
        <v>50</v>
      </c>
      <c r="B61" s="11" t="s">
        <v>51</v>
      </c>
      <c r="C61" s="198"/>
      <c r="D61" s="198"/>
      <c r="E61" s="198"/>
      <c r="F61" s="198"/>
      <c r="G61" s="198"/>
      <c r="H61" s="198"/>
      <c r="I61" s="198"/>
      <c r="J61" s="198"/>
      <c r="K61" s="198"/>
    </row>
    <row r="62" spans="1:11" s="200" customFormat="1" ht="31.5" outlineLevel="1" x14ac:dyDescent="0.25">
      <c r="A62" s="197" t="s">
        <v>52</v>
      </c>
      <c r="B62" s="11" t="s">
        <v>53</v>
      </c>
      <c r="C62" s="198"/>
      <c r="D62" s="198"/>
      <c r="E62" s="198"/>
      <c r="F62" s="198"/>
      <c r="G62" s="198"/>
      <c r="H62" s="198"/>
      <c r="I62" s="198"/>
      <c r="J62" s="198"/>
      <c r="K62" s="198"/>
    </row>
    <row r="63" spans="1:11" s="200" customFormat="1" ht="31.5" x14ac:dyDescent="0.25">
      <c r="A63" s="197" t="s">
        <v>54</v>
      </c>
      <c r="B63" s="11" t="s">
        <v>55</v>
      </c>
      <c r="C63" s="198">
        <v>0</v>
      </c>
      <c r="D63" s="198">
        <f>D64</f>
        <v>0</v>
      </c>
      <c r="E63" s="198">
        <f t="shared" ref="E63:K63" si="10">E64</f>
        <v>0</v>
      </c>
      <c r="F63" s="198">
        <f t="shared" si="10"/>
        <v>0</v>
      </c>
      <c r="G63" s="198">
        <f t="shared" si="10"/>
        <v>0</v>
      </c>
      <c r="H63" s="198">
        <f t="shared" si="10"/>
        <v>0</v>
      </c>
      <c r="I63" s="198">
        <f t="shared" si="10"/>
        <v>0</v>
      </c>
      <c r="J63" s="198">
        <f t="shared" si="10"/>
        <v>0</v>
      </c>
      <c r="K63" s="198">
        <f t="shared" si="10"/>
        <v>0</v>
      </c>
    </row>
    <row r="64" spans="1:11" s="362" customFormat="1" x14ac:dyDescent="0.25">
      <c r="A64" s="197"/>
      <c r="B64" s="11"/>
      <c r="C64" s="351"/>
      <c r="D64" s="351"/>
      <c r="E64" s="351"/>
      <c r="F64" s="351"/>
      <c r="G64" s="351"/>
      <c r="H64" s="351"/>
      <c r="I64" s="351"/>
      <c r="J64" s="351"/>
      <c r="K64" s="351"/>
    </row>
    <row r="65" spans="1:14" s="134" customFormat="1" ht="31.5" hidden="1" outlineLevel="1" x14ac:dyDescent="0.25">
      <c r="A65" s="60" t="s">
        <v>56</v>
      </c>
      <c r="B65" s="203" t="s">
        <v>57</v>
      </c>
      <c r="C65" s="204"/>
      <c r="D65" s="204"/>
      <c r="E65" s="205"/>
      <c r="F65" s="205"/>
      <c r="G65" s="204"/>
      <c r="H65" s="206"/>
      <c r="I65" s="206"/>
      <c r="J65" s="207"/>
      <c r="K65" s="204"/>
    </row>
    <row r="66" spans="1:14" ht="31.5" hidden="1" outlineLevel="1" x14ac:dyDescent="0.25">
      <c r="A66" s="60" t="s">
        <v>58</v>
      </c>
      <c r="B66" s="61" t="s">
        <v>59</v>
      </c>
      <c r="C66" s="56"/>
      <c r="D66" s="56"/>
      <c r="E66" s="62"/>
      <c r="F66" s="62"/>
      <c r="G66" s="56"/>
      <c r="H66" s="56"/>
      <c r="I66" s="56"/>
      <c r="J66" s="63"/>
      <c r="K66" s="56"/>
    </row>
    <row r="67" spans="1:14" ht="31.5" hidden="1" outlineLevel="1" x14ac:dyDescent="0.25">
      <c r="A67" s="14" t="s">
        <v>60</v>
      </c>
      <c r="B67" s="16" t="s">
        <v>61</v>
      </c>
      <c r="C67" s="17"/>
      <c r="D67" s="17"/>
      <c r="E67" s="47"/>
      <c r="F67" s="47"/>
      <c r="G67" s="17"/>
      <c r="H67" s="17"/>
      <c r="I67" s="17"/>
      <c r="J67" s="52"/>
      <c r="K67" s="17"/>
    </row>
    <row r="68" spans="1:14" s="25" customFormat="1" ht="31.5" hidden="1" outlineLevel="1" x14ac:dyDescent="0.25">
      <c r="A68" s="22" t="s">
        <v>62</v>
      </c>
      <c r="B68" s="23" t="s">
        <v>63</v>
      </c>
      <c r="C68" s="24"/>
      <c r="D68" s="24"/>
      <c r="E68" s="48"/>
      <c r="F68" s="48"/>
      <c r="G68" s="24"/>
      <c r="H68" s="24"/>
      <c r="I68" s="24"/>
      <c r="J68" s="53"/>
      <c r="K68" s="24"/>
    </row>
    <row r="69" spans="1:14" hidden="1" outlineLevel="1" x14ac:dyDescent="0.25">
      <c r="A69" s="14" t="s">
        <v>64</v>
      </c>
      <c r="B69" s="16" t="s">
        <v>65</v>
      </c>
      <c r="C69" s="17"/>
      <c r="D69" s="17"/>
      <c r="E69" s="47"/>
      <c r="F69" s="47"/>
      <c r="G69" s="17"/>
      <c r="H69" s="17"/>
      <c r="I69" s="17"/>
      <c r="J69" s="52"/>
      <c r="K69" s="17"/>
    </row>
    <row r="70" spans="1:14" ht="31.5" hidden="1" outlineLevel="1" x14ac:dyDescent="0.25">
      <c r="A70" s="14" t="s">
        <v>66</v>
      </c>
      <c r="B70" s="16" t="s">
        <v>67</v>
      </c>
      <c r="C70" s="17"/>
      <c r="D70" s="17"/>
      <c r="E70" s="47"/>
      <c r="F70" s="47"/>
      <c r="G70" s="17"/>
      <c r="H70" s="17"/>
      <c r="I70" s="17"/>
      <c r="J70" s="52"/>
      <c r="K70" s="17"/>
    </row>
    <row r="71" spans="1:14" s="28" customFormat="1" ht="47.25" hidden="1" outlineLevel="1" collapsed="1" x14ac:dyDescent="0.25">
      <c r="A71" s="20" t="s">
        <v>68</v>
      </c>
      <c r="B71" s="32" t="s">
        <v>69</v>
      </c>
      <c r="C71" s="27"/>
      <c r="D71" s="27"/>
      <c r="E71" s="49"/>
      <c r="F71" s="49"/>
      <c r="G71" s="27"/>
      <c r="H71" s="27"/>
      <c r="I71" s="27"/>
      <c r="J71" s="54"/>
      <c r="K71" s="27"/>
    </row>
    <row r="72" spans="1:14" s="25" customFormat="1" ht="31.5" hidden="1" outlineLevel="1" x14ac:dyDescent="0.25">
      <c r="A72" s="22" t="s">
        <v>70</v>
      </c>
      <c r="B72" s="23" t="s">
        <v>71</v>
      </c>
      <c r="C72" s="24"/>
      <c r="D72" s="24"/>
      <c r="E72" s="48"/>
      <c r="F72" s="48"/>
      <c r="G72" s="24"/>
      <c r="H72" s="24"/>
      <c r="I72" s="24"/>
      <c r="J72" s="53"/>
      <c r="K72" s="24"/>
    </row>
    <row r="73" spans="1:14" s="25" customFormat="1" ht="31.5" hidden="1" outlineLevel="1" x14ac:dyDescent="0.25">
      <c r="A73" s="22" t="s">
        <v>72</v>
      </c>
      <c r="B73" s="23" t="s">
        <v>73</v>
      </c>
      <c r="C73" s="24"/>
      <c r="D73" s="24"/>
      <c r="E73" s="48"/>
      <c r="F73" s="48"/>
      <c r="G73" s="24"/>
      <c r="H73" s="24"/>
      <c r="I73" s="24"/>
      <c r="J73" s="53"/>
      <c r="K73" s="24"/>
    </row>
    <row r="74" spans="1:14" s="310" customFormat="1" collapsed="1" x14ac:dyDescent="0.25">
      <c r="A74" s="20" t="s">
        <v>528</v>
      </c>
      <c r="B74" s="265" t="s">
        <v>529</v>
      </c>
      <c r="C74" s="314">
        <v>0</v>
      </c>
      <c r="D74" s="314">
        <v>0</v>
      </c>
      <c r="E74" s="314">
        <v>0</v>
      </c>
      <c r="F74" s="314">
        <v>0</v>
      </c>
      <c r="G74" s="314">
        <v>0</v>
      </c>
      <c r="H74" s="314">
        <v>0</v>
      </c>
      <c r="I74" s="314">
        <v>0</v>
      </c>
      <c r="J74" s="314">
        <v>0</v>
      </c>
      <c r="K74" s="314">
        <v>0</v>
      </c>
    </row>
    <row r="75" spans="1:14" s="345" customFormat="1" x14ac:dyDescent="0.25">
      <c r="A75" s="341" t="s">
        <v>530</v>
      </c>
      <c r="B75" s="419" t="s">
        <v>708</v>
      </c>
      <c r="C75" s="390" t="s">
        <v>733</v>
      </c>
      <c r="D75" s="351">
        <v>0</v>
      </c>
      <c r="E75" s="351">
        <v>0</v>
      </c>
      <c r="F75" s="351">
        <v>0</v>
      </c>
      <c r="G75" s="351">
        <v>0</v>
      </c>
      <c r="H75" s="351">
        <v>0</v>
      </c>
      <c r="I75" s="351">
        <v>0</v>
      </c>
      <c r="J75" s="351">
        <v>0</v>
      </c>
      <c r="K75" s="351">
        <v>0</v>
      </c>
    </row>
    <row r="76" spans="1:14" s="345" customFormat="1" x14ac:dyDescent="0.25">
      <c r="A76" s="341" t="s">
        <v>707</v>
      </c>
      <c r="B76" s="419" t="s">
        <v>709</v>
      </c>
      <c r="C76" s="390" t="s">
        <v>734</v>
      </c>
      <c r="D76" s="351">
        <v>0</v>
      </c>
      <c r="E76" s="351">
        <v>0</v>
      </c>
      <c r="F76" s="351">
        <v>0</v>
      </c>
      <c r="G76" s="351">
        <v>0</v>
      </c>
      <c r="H76" s="351">
        <v>0</v>
      </c>
      <c r="I76" s="351">
        <v>0</v>
      </c>
      <c r="J76" s="351">
        <v>0</v>
      </c>
      <c r="K76" s="351">
        <v>0</v>
      </c>
    </row>
    <row r="78" spans="1:14" x14ac:dyDescent="0.25">
      <c r="J78"/>
      <c r="K78" s="55"/>
      <c r="N78" s="55"/>
    </row>
    <row r="79" spans="1:14" x14ac:dyDescent="0.25">
      <c r="J79"/>
      <c r="K79" s="55"/>
      <c r="N79" s="55"/>
    </row>
    <row r="80" spans="1:14" x14ac:dyDescent="0.25">
      <c r="M80" s="55"/>
    </row>
    <row r="81" spans="1:13" x14ac:dyDescent="0.25">
      <c r="M81" s="55"/>
    </row>
    <row r="82" spans="1:13" ht="18.75" x14ac:dyDescent="0.25">
      <c r="B82" s="278" t="s">
        <v>77</v>
      </c>
      <c r="C82" s="279"/>
      <c r="D82" s="279"/>
      <c r="E82" s="279" t="s">
        <v>668</v>
      </c>
      <c r="M82" s="55"/>
    </row>
    <row r="83" spans="1:13" ht="18.75" x14ac:dyDescent="0.25">
      <c r="B83" s="278"/>
      <c r="C83" s="279"/>
      <c r="D83" s="279"/>
      <c r="E83" s="279"/>
      <c r="M83" s="55"/>
    </row>
    <row r="84" spans="1:13" ht="18.75" x14ac:dyDescent="0.25">
      <c r="B84" s="278"/>
      <c r="C84" s="279"/>
      <c r="D84" s="279"/>
      <c r="E84" s="279"/>
      <c r="M84" s="55"/>
    </row>
    <row r="85" spans="1:13" x14ac:dyDescent="0.25">
      <c r="M85" s="55"/>
    </row>
    <row r="86" spans="1:13" x14ac:dyDescent="0.25">
      <c r="M86" s="55"/>
    </row>
    <row r="87" spans="1:13" s="41" customFormat="1" x14ac:dyDescent="0.25">
      <c r="A87" s="613" t="s">
        <v>207</v>
      </c>
      <c r="B87" s="613"/>
      <c r="C87" s="613"/>
      <c r="D87" s="613"/>
      <c r="E87" s="613"/>
      <c r="F87" s="613"/>
      <c r="G87" s="613"/>
      <c r="H87" s="613"/>
      <c r="I87" s="613"/>
      <c r="J87" s="613"/>
      <c r="K87" s="613"/>
    </row>
    <row r="88" spans="1:13" s="41" customFormat="1" x14ac:dyDescent="0.25">
      <c r="A88" s="614" t="s">
        <v>208</v>
      </c>
      <c r="B88" s="614"/>
      <c r="C88" s="614"/>
      <c r="D88" s="614"/>
      <c r="E88" s="614"/>
      <c r="F88" s="614"/>
      <c r="G88" s="614"/>
      <c r="H88" s="614"/>
      <c r="I88" s="614"/>
      <c r="J88" s="614"/>
      <c r="K88" s="614"/>
    </row>
    <row r="89" spans="1:13" s="41" customFormat="1" x14ac:dyDescent="0.25">
      <c r="A89" s="614" t="s">
        <v>209</v>
      </c>
      <c r="B89" s="614"/>
      <c r="C89" s="614"/>
      <c r="D89" s="614"/>
      <c r="E89" s="614"/>
      <c r="F89" s="614"/>
      <c r="G89" s="614"/>
      <c r="H89" s="614"/>
      <c r="I89" s="614"/>
      <c r="J89" s="614"/>
      <c r="K89" s="614"/>
    </row>
    <row r="90" spans="1:13" s="41" customFormat="1" x14ac:dyDescent="0.25">
      <c r="A90" s="614" t="s">
        <v>210</v>
      </c>
      <c r="B90" s="614"/>
      <c r="C90" s="614"/>
      <c r="D90" s="614"/>
      <c r="E90" s="614"/>
      <c r="F90" s="614"/>
      <c r="G90" s="614"/>
      <c r="H90" s="614"/>
      <c r="I90" s="614"/>
      <c r="J90" s="614"/>
      <c r="K90" s="614"/>
    </row>
  </sheetData>
  <mergeCells count="19">
    <mergeCell ref="A87:K87"/>
    <mergeCell ref="A88:K88"/>
    <mergeCell ref="A89:K89"/>
    <mergeCell ref="A90:K90"/>
    <mergeCell ref="A1:K1"/>
    <mergeCell ref="A3:K3"/>
    <mergeCell ref="A4:K4"/>
    <mergeCell ref="A6:K6"/>
    <mergeCell ref="A8:K8"/>
    <mergeCell ref="A9:K9"/>
    <mergeCell ref="A10:K10"/>
    <mergeCell ref="A11:J11"/>
    <mergeCell ref="A12:A15"/>
    <mergeCell ref="B12:B15"/>
    <mergeCell ref="C12:C15"/>
    <mergeCell ref="D12:J13"/>
    <mergeCell ref="K12:K15"/>
    <mergeCell ref="D14:F14"/>
    <mergeCell ref="G14:I14"/>
  </mergeCells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84"/>
  <sheetViews>
    <sheetView topLeftCell="A38" zoomScale="70" zoomScaleNormal="70" workbookViewId="0">
      <selection activeCell="H52" sqref="H52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26.140625" style="50" customWidth="1"/>
    <col min="6" max="6" width="19.7109375" style="50" customWidth="1"/>
    <col min="7" max="7" width="29.7109375" customWidth="1"/>
    <col min="8" max="8" width="25.140625" customWidth="1"/>
    <col min="9" max="9" width="22.85546875" customWidth="1"/>
    <col min="10" max="10" width="20.140625" style="55" customWidth="1"/>
    <col min="11" max="11" width="20.7109375" customWidth="1"/>
    <col min="12" max="12" width="16.85546875" customWidth="1"/>
    <col min="13" max="13" width="38.42578125" customWidth="1"/>
    <col min="14" max="14" width="33" customWidth="1"/>
    <col min="15" max="15" width="14.42578125" bestFit="1" customWidth="1"/>
    <col min="16" max="17" width="12.42578125" bestFit="1" customWidth="1"/>
    <col min="18" max="18" width="11.42578125" bestFit="1" customWidth="1"/>
  </cols>
  <sheetData>
    <row r="1" spans="1:45" s="112" customFormat="1" x14ac:dyDescent="0.25">
      <c r="A1" s="639" t="s">
        <v>410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221"/>
      <c r="T1" s="221"/>
      <c r="U1" s="221"/>
      <c r="V1" s="221"/>
      <c r="W1" s="221"/>
      <c r="X1" s="221"/>
      <c r="Y1" s="221"/>
      <c r="Z1" s="222"/>
      <c r="AA1" s="222"/>
      <c r="AB1" s="222"/>
      <c r="AC1" s="222"/>
    </row>
    <row r="2" spans="1:45" s="112" customForma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221"/>
      <c r="T2" s="221"/>
      <c r="U2" s="221"/>
      <c r="V2" s="221"/>
      <c r="W2" s="221"/>
      <c r="X2" s="221"/>
      <c r="Y2" s="221"/>
      <c r="Z2" s="222"/>
      <c r="AA2" s="222"/>
      <c r="AB2" s="222"/>
      <c r="AC2" s="222"/>
    </row>
    <row r="3" spans="1:45" s="112" customFormat="1" x14ac:dyDescent="0.25">
      <c r="A3" s="670" t="s">
        <v>411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</row>
    <row r="4" spans="1:45" s="112" customFormat="1" x14ac:dyDescent="0.25">
      <c r="A4" s="606" t="s">
        <v>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45" s="112" customForma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</row>
    <row r="6" spans="1:45" s="112" customFormat="1" x14ac:dyDescent="0.25">
      <c r="A6" s="601" t="s">
        <v>780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</row>
    <row r="7" spans="1:45" s="112" customFormat="1" ht="15" x14ac:dyDescent="0.25">
      <c r="A7" s="671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224"/>
      <c r="T7" s="221"/>
      <c r="U7" s="221"/>
      <c r="V7" s="221"/>
      <c r="W7" s="221"/>
      <c r="X7" s="221"/>
      <c r="Y7" s="221"/>
      <c r="Z7" s="222"/>
      <c r="AA7" s="222"/>
      <c r="AB7" s="222"/>
      <c r="AC7" s="222"/>
    </row>
    <row r="8" spans="1:45" s="222" customFormat="1" ht="186.75" customHeight="1" x14ac:dyDescent="0.25">
      <c r="A8" s="225" t="s">
        <v>4</v>
      </c>
      <c r="B8" s="225" t="s">
        <v>5</v>
      </c>
      <c r="C8" s="225" t="s">
        <v>6</v>
      </c>
      <c r="D8" s="226" t="s">
        <v>412</v>
      </c>
      <c r="E8" s="226" t="s">
        <v>413</v>
      </c>
      <c r="F8" s="225" t="s">
        <v>414</v>
      </c>
      <c r="G8" s="225" t="s">
        <v>415</v>
      </c>
      <c r="H8" s="225" t="s">
        <v>416</v>
      </c>
      <c r="I8" s="225" t="s">
        <v>417</v>
      </c>
      <c r="J8" s="225" t="s">
        <v>418</v>
      </c>
      <c r="K8" s="225" t="s">
        <v>419</v>
      </c>
      <c r="L8" s="225" t="s">
        <v>420</v>
      </c>
      <c r="M8" s="157" t="s">
        <v>421</v>
      </c>
      <c r="N8" s="157" t="s">
        <v>422</v>
      </c>
      <c r="O8" s="225" t="s">
        <v>423</v>
      </c>
      <c r="P8" s="225" t="s">
        <v>424</v>
      </c>
      <c r="Q8" s="225" t="s">
        <v>425</v>
      </c>
      <c r="R8" s="225" t="s">
        <v>426</v>
      </c>
    </row>
    <row r="9" spans="1:45" s="112" customFormat="1" ht="15.75" customHeight="1" x14ac:dyDescent="0.2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  <c r="O9" s="89">
        <v>15</v>
      </c>
      <c r="P9" s="89">
        <v>16</v>
      </c>
      <c r="Q9" s="89">
        <v>17</v>
      </c>
      <c r="R9" s="89">
        <v>18</v>
      </c>
      <c r="S9" s="221"/>
    </row>
    <row r="10" spans="1:45" s="185" customFormat="1" x14ac:dyDescent="0.25">
      <c r="A10" s="183" t="s">
        <v>33</v>
      </c>
      <c r="B10" s="64" t="s">
        <v>34</v>
      </c>
      <c r="C10" s="184">
        <v>0</v>
      </c>
      <c r="D10" s="184">
        <f>D11</f>
        <v>0</v>
      </c>
      <c r="E10" s="184">
        <f t="shared" ref="E10:K10" si="0">E11</f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0</v>
      </c>
      <c r="L10" s="184">
        <f t="shared" ref="L10" si="1">L11</f>
        <v>0</v>
      </c>
      <c r="M10" s="184">
        <f t="shared" ref="M10" si="2">M11</f>
        <v>0</v>
      </c>
      <c r="N10" s="184">
        <f t="shared" ref="N10" si="3">N11</f>
        <v>0</v>
      </c>
      <c r="O10" s="184">
        <f t="shared" ref="O10" si="4">O11</f>
        <v>0</v>
      </c>
      <c r="P10" s="184">
        <f t="shared" ref="P10" si="5">P11</f>
        <v>0</v>
      </c>
      <c r="Q10" s="184">
        <f t="shared" ref="Q10" si="6">Q11</f>
        <v>0</v>
      </c>
      <c r="R10" s="184">
        <f t="shared" ref="R10" si="7">R11</f>
        <v>0</v>
      </c>
    </row>
    <row r="11" spans="1:45" s="189" customFormat="1" x14ac:dyDescent="0.25">
      <c r="A11" s="186" t="s">
        <v>81</v>
      </c>
      <c r="B11" s="9" t="s">
        <v>36</v>
      </c>
      <c r="C11" s="187">
        <v>0</v>
      </c>
      <c r="D11" s="187">
        <v>0</v>
      </c>
      <c r="E11" s="187">
        <v>0</v>
      </c>
      <c r="F11" s="187">
        <v>0</v>
      </c>
      <c r="G11" s="187">
        <f t="shared" ref="G11:K11" si="8">G12+G32</f>
        <v>0</v>
      </c>
      <c r="H11" s="187">
        <f t="shared" si="8"/>
        <v>0</v>
      </c>
      <c r="I11" s="187">
        <f t="shared" si="8"/>
        <v>0</v>
      </c>
      <c r="J11" s="187">
        <f t="shared" si="8"/>
        <v>0</v>
      </c>
      <c r="K11" s="187">
        <f t="shared" si="8"/>
        <v>0</v>
      </c>
      <c r="L11" s="187">
        <f t="shared" ref="L11" si="9">L12+L32</f>
        <v>0</v>
      </c>
      <c r="M11" s="187">
        <v>0</v>
      </c>
      <c r="N11" s="187">
        <f t="shared" ref="N11" si="10">N12+N32</f>
        <v>0</v>
      </c>
      <c r="O11" s="187">
        <f t="shared" ref="O11" si="11">O12+O32</f>
        <v>0</v>
      </c>
      <c r="P11" s="187">
        <f t="shared" ref="P11" si="12">P12+P32</f>
        <v>0</v>
      </c>
      <c r="Q11" s="187">
        <f t="shared" ref="Q11" si="13">Q12+Q32</f>
        <v>0</v>
      </c>
      <c r="R11" s="187">
        <f t="shared" ref="R11" si="14">R12+R32</f>
        <v>0</v>
      </c>
    </row>
    <row r="12" spans="1:45" s="185" customFormat="1" x14ac:dyDescent="0.25">
      <c r="A12" s="183" t="s">
        <v>37</v>
      </c>
      <c r="B12" s="64" t="s">
        <v>38</v>
      </c>
      <c r="C12" s="184">
        <v>0</v>
      </c>
      <c r="D12" s="184">
        <f>D29</f>
        <v>0</v>
      </c>
      <c r="E12" s="184">
        <f t="shared" ref="E12:K12" si="15">E29</f>
        <v>0</v>
      </c>
      <c r="F12" s="184">
        <f t="shared" si="15"/>
        <v>0</v>
      </c>
      <c r="G12" s="184">
        <f t="shared" si="15"/>
        <v>0</v>
      </c>
      <c r="H12" s="184">
        <f t="shared" si="15"/>
        <v>0</v>
      </c>
      <c r="I12" s="184">
        <f t="shared" si="15"/>
        <v>0</v>
      </c>
      <c r="J12" s="184">
        <f t="shared" si="15"/>
        <v>0</v>
      </c>
      <c r="K12" s="184">
        <f t="shared" si="15"/>
        <v>0</v>
      </c>
      <c r="L12" s="184">
        <f t="shared" ref="L12:R12" si="16">L29</f>
        <v>0</v>
      </c>
      <c r="M12" s="184">
        <f t="shared" si="16"/>
        <v>0</v>
      </c>
      <c r="N12" s="184">
        <f t="shared" si="16"/>
        <v>0</v>
      </c>
      <c r="O12" s="184">
        <f t="shared" si="16"/>
        <v>0</v>
      </c>
      <c r="P12" s="184">
        <f t="shared" si="16"/>
        <v>0</v>
      </c>
      <c r="Q12" s="184">
        <f t="shared" si="16"/>
        <v>0</v>
      </c>
      <c r="R12" s="184">
        <f t="shared" si="16"/>
        <v>0</v>
      </c>
    </row>
    <row r="13" spans="1:45" s="193" customFormat="1" ht="31.5" hidden="1" outlineLevel="1" x14ac:dyDescent="0.25">
      <c r="A13" s="190" t="s">
        <v>82</v>
      </c>
      <c r="B13" s="10" t="s">
        <v>83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45" s="189" customFormat="1" ht="47.25" hidden="1" outlineLevel="1" x14ac:dyDescent="0.25">
      <c r="A14" s="186" t="s">
        <v>84</v>
      </c>
      <c r="B14" s="9" t="s">
        <v>85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45" s="189" customFormat="1" ht="47.25" hidden="1" outlineLevel="1" x14ac:dyDescent="0.25">
      <c r="A15" s="186" t="s">
        <v>86</v>
      </c>
      <c r="B15" s="9" t="s">
        <v>87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45" s="189" customFormat="1" ht="31.5" hidden="1" outlineLevel="1" x14ac:dyDescent="0.25">
      <c r="A16" s="186" t="s">
        <v>88</v>
      </c>
      <c r="B16" s="9" t="s">
        <v>89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</row>
    <row r="17" spans="1:18" s="193" customFormat="1" ht="31.5" hidden="1" outlineLevel="1" x14ac:dyDescent="0.25">
      <c r="A17" s="190" t="s">
        <v>90</v>
      </c>
      <c r="B17" s="10" t="s">
        <v>91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</row>
    <row r="18" spans="1:18" s="189" customFormat="1" ht="47.25" hidden="1" outlineLevel="1" x14ac:dyDescent="0.25">
      <c r="A18" s="186" t="s">
        <v>92</v>
      </c>
      <c r="B18" s="9" t="s">
        <v>93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 s="189" customFormat="1" ht="31.5" hidden="1" outlineLevel="1" x14ac:dyDescent="0.25">
      <c r="A19" s="186" t="s">
        <v>94</v>
      </c>
      <c r="B19" s="9" t="s">
        <v>95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</row>
    <row r="20" spans="1:18" s="193" customFormat="1" ht="31.5" hidden="1" outlineLevel="1" x14ac:dyDescent="0.25">
      <c r="A20" s="190" t="s">
        <v>96</v>
      </c>
      <c r="B20" s="10" t="s">
        <v>97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 s="189" customFormat="1" ht="31.5" hidden="1" outlineLevel="1" x14ac:dyDescent="0.25">
      <c r="A21" s="186" t="s">
        <v>98</v>
      </c>
      <c r="B21" s="9" t="s">
        <v>99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18" s="189" customFormat="1" ht="63" hidden="1" outlineLevel="1" x14ac:dyDescent="0.25">
      <c r="A22" s="186" t="s">
        <v>103</v>
      </c>
      <c r="B22" s="9" t="s">
        <v>100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 s="189" customFormat="1" ht="63" hidden="1" outlineLevel="1" x14ac:dyDescent="0.25">
      <c r="A23" s="186" t="s">
        <v>105</v>
      </c>
      <c r="B23" s="9" t="s">
        <v>101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</row>
    <row r="24" spans="1:18" s="189" customFormat="1" ht="63" hidden="1" outlineLevel="1" x14ac:dyDescent="0.25">
      <c r="A24" s="186" t="s">
        <v>106</v>
      </c>
      <c r="B24" s="9" t="s">
        <v>102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8" s="189" customFormat="1" ht="31.5" hidden="1" outlineLevel="1" x14ac:dyDescent="0.25">
      <c r="A25" s="186" t="s">
        <v>107</v>
      </c>
      <c r="B25" s="9" t="s">
        <v>99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s="189" customFormat="1" ht="63" hidden="1" outlineLevel="1" x14ac:dyDescent="0.25">
      <c r="A26" s="186" t="s">
        <v>108</v>
      </c>
      <c r="B26" s="9" t="s">
        <v>100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</row>
    <row r="27" spans="1:18" s="189" customFormat="1" ht="63" hidden="1" outlineLevel="1" x14ac:dyDescent="0.25">
      <c r="A27" s="186" t="s">
        <v>109</v>
      </c>
      <c r="B27" s="9" t="s">
        <v>101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</row>
    <row r="28" spans="1:18" s="189" customFormat="1" ht="63" hidden="1" outlineLevel="1" x14ac:dyDescent="0.25">
      <c r="A28" s="186" t="s">
        <v>110</v>
      </c>
      <c r="B28" s="9" t="s">
        <v>104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 s="196" customFormat="1" ht="63" collapsed="1" x14ac:dyDescent="0.25">
      <c r="A29" s="194" t="s">
        <v>39</v>
      </c>
      <c r="B29" s="65" t="s">
        <v>40</v>
      </c>
      <c r="C29" s="195">
        <v>0</v>
      </c>
      <c r="D29" s="195">
        <v>0</v>
      </c>
      <c r="E29" s="195">
        <v>0</v>
      </c>
      <c r="F29" s="195">
        <v>0</v>
      </c>
      <c r="G29" s="195">
        <f t="shared" ref="G29" si="17">G30</f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</row>
    <row r="30" spans="1:18" s="362" customFormat="1" x14ac:dyDescent="0.25">
      <c r="A30" s="197"/>
      <c r="B30" s="1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70"/>
      <c r="N30" s="351"/>
      <c r="O30" s="351"/>
      <c r="P30" s="351"/>
      <c r="Q30" s="351"/>
      <c r="R30" s="351"/>
    </row>
    <row r="31" spans="1:18" s="193" customFormat="1" ht="47.25" hidden="1" x14ac:dyDescent="0.25">
      <c r="A31" s="190" t="s">
        <v>111</v>
      </c>
      <c r="B31" s="10" t="s">
        <v>41</v>
      </c>
      <c r="C31" s="191"/>
      <c r="D31" s="191"/>
      <c r="E31" s="191"/>
      <c r="F31" s="191"/>
      <c r="G31" s="191"/>
      <c r="H31" s="191"/>
      <c r="I31" s="191"/>
      <c r="J31" s="191"/>
      <c r="K31" s="191"/>
      <c r="L31" s="210"/>
      <c r="M31" s="210"/>
      <c r="N31" s="210"/>
      <c r="O31" s="210"/>
      <c r="P31" s="210"/>
      <c r="Q31" s="210"/>
      <c r="R31" s="210"/>
    </row>
    <row r="32" spans="1:18" s="185" customFormat="1" ht="31.5" x14ac:dyDescent="0.25">
      <c r="A32" s="183" t="s">
        <v>42</v>
      </c>
      <c r="B32" s="64" t="s">
        <v>43</v>
      </c>
      <c r="C32" s="184">
        <v>0</v>
      </c>
      <c r="D32" s="184">
        <v>0</v>
      </c>
      <c r="E32" s="184">
        <v>0</v>
      </c>
      <c r="F32" s="184">
        <v>0</v>
      </c>
      <c r="G32" s="184">
        <f t="shared" ref="G32:K32" si="18">G33+G39+G46</f>
        <v>0</v>
      </c>
      <c r="H32" s="184">
        <f t="shared" si="18"/>
        <v>0</v>
      </c>
      <c r="I32" s="184">
        <f t="shared" si="18"/>
        <v>0</v>
      </c>
      <c r="J32" s="184">
        <f t="shared" si="18"/>
        <v>0</v>
      </c>
      <c r="K32" s="184">
        <f t="shared" si="18"/>
        <v>0</v>
      </c>
      <c r="L32" s="184">
        <f t="shared" ref="L32" si="19">L33+L39+L46</f>
        <v>0</v>
      </c>
      <c r="M32" s="184">
        <v>0</v>
      </c>
      <c r="N32" s="184">
        <f t="shared" ref="N32" si="20">N33+N39+N46</f>
        <v>0</v>
      </c>
      <c r="O32" s="184">
        <f t="shared" ref="O32" si="21">O33+O39+O46</f>
        <v>0</v>
      </c>
      <c r="P32" s="184">
        <f t="shared" ref="P32" si="22">P33+P39+P46</f>
        <v>0</v>
      </c>
      <c r="Q32" s="184">
        <f t="shared" ref="Q32" si="23">Q33+Q39+Q46</f>
        <v>0</v>
      </c>
      <c r="R32" s="184">
        <f t="shared" ref="R32" si="24">R33+R39+R46</f>
        <v>0</v>
      </c>
    </row>
    <row r="33" spans="1:18" s="196" customFormat="1" ht="47.25" x14ac:dyDescent="0.25">
      <c r="A33" s="194" t="s">
        <v>79</v>
      </c>
      <c r="B33" s="65" t="s">
        <v>80</v>
      </c>
      <c r="C33" s="195">
        <v>0</v>
      </c>
      <c r="D33" s="195">
        <v>0</v>
      </c>
      <c r="E33" s="195">
        <v>0</v>
      </c>
      <c r="F33" s="195">
        <v>0</v>
      </c>
      <c r="G33" s="195">
        <f t="shared" ref="E33:K34" si="25">G34</f>
        <v>0</v>
      </c>
      <c r="H33" s="195">
        <f t="shared" si="25"/>
        <v>0</v>
      </c>
      <c r="I33" s="195">
        <f t="shared" si="25"/>
        <v>0</v>
      </c>
      <c r="J33" s="195">
        <f t="shared" si="25"/>
        <v>0</v>
      </c>
      <c r="K33" s="195">
        <f t="shared" si="25"/>
        <v>0</v>
      </c>
      <c r="L33" s="195">
        <f t="shared" ref="L33" si="26">L34</f>
        <v>0</v>
      </c>
      <c r="M33" s="195">
        <v>0</v>
      </c>
      <c r="N33" s="195">
        <f t="shared" ref="N33" si="27">N34</f>
        <v>0</v>
      </c>
      <c r="O33" s="195">
        <f t="shared" ref="O33" si="28">O34</f>
        <v>0</v>
      </c>
      <c r="P33" s="195">
        <f t="shared" ref="P33" si="29">P34</f>
        <v>0</v>
      </c>
      <c r="Q33" s="195">
        <f t="shared" ref="Q33" si="30">Q34</f>
        <v>0</v>
      </c>
      <c r="R33" s="195">
        <f t="shared" ref="R33" si="31">R34</f>
        <v>0</v>
      </c>
    </row>
    <row r="34" spans="1:18" s="200" customFormat="1" ht="31.5" x14ac:dyDescent="0.25">
      <c r="A34" s="197" t="s">
        <v>44</v>
      </c>
      <c r="B34" s="11" t="s">
        <v>45</v>
      </c>
      <c r="C34" s="198">
        <v>0</v>
      </c>
      <c r="D34" s="198" t="str">
        <f>D35</f>
        <v>Дальневосточный Федеральный округ</v>
      </c>
      <c r="E34" s="198" t="str">
        <f t="shared" si="25"/>
        <v>Приморский край</v>
      </c>
      <c r="F34" s="198"/>
      <c r="G34" s="198">
        <f t="shared" si="25"/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 t="str">
        <f t="shared" ref="M34" si="32">M35</f>
        <v>не относится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</row>
    <row r="35" spans="1:18" s="362" customFormat="1" ht="31.5" x14ac:dyDescent="0.25">
      <c r="A35" s="14" t="s">
        <v>46</v>
      </c>
      <c r="B35" s="417" t="s">
        <v>735</v>
      </c>
      <c r="C35" s="390" t="s">
        <v>721</v>
      </c>
      <c r="D35" s="351" t="s">
        <v>427</v>
      </c>
      <c r="E35" s="351" t="s">
        <v>36</v>
      </c>
      <c r="F35" s="351" t="s">
        <v>428</v>
      </c>
      <c r="G35" s="351">
        <v>0</v>
      </c>
      <c r="H35" s="351" t="s">
        <v>545</v>
      </c>
      <c r="I35" s="351" t="s">
        <v>545</v>
      </c>
      <c r="J35" s="351" t="s">
        <v>545</v>
      </c>
      <c r="K35" s="351" t="s">
        <v>545</v>
      </c>
      <c r="L35" s="351" t="s">
        <v>545</v>
      </c>
      <c r="M35" s="370" t="s">
        <v>429</v>
      </c>
      <c r="N35" s="351" t="s">
        <v>545</v>
      </c>
      <c r="O35" s="351" t="s">
        <v>545</v>
      </c>
      <c r="P35" s="351" t="s">
        <v>545</v>
      </c>
      <c r="Q35" s="351" t="s">
        <v>545</v>
      </c>
      <c r="R35" s="351" t="s">
        <v>545</v>
      </c>
    </row>
    <row r="36" spans="1:18" s="362" customFormat="1" ht="31.5" x14ac:dyDescent="0.25">
      <c r="A36" s="14" t="s">
        <v>527</v>
      </c>
      <c r="B36" s="419" t="s">
        <v>736</v>
      </c>
      <c r="C36" s="390" t="s">
        <v>722</v>
      </c>
      <c r="D36" s="351" t="s">
        <v>427</v>
      </c>
      <c r="E36" s="351" t="s">
        <v>36</v>
      </c>
      <c r="F36" s="351" t="s">
        <v>428</v>
      </c>
      <c r="G36" s="351">
        <v>0</v>
      </c>
      <c r="H36" s="351" t="s">
        <v>545</v>
      </c>
      <c r="I36" s="351" t="s">
        <v>545</v>
      </c>
      <c r="J36" s="351" t="s">
        <v>545</v>
      </c>
      <c r="K36" s="351" t="s">
        <v>545</v>
      </c>
      <c r="L36" s="351" t="s">
        <v>545</v>
      </c>
      <c r="M36" s="370" t="s">
        <v>429</v>
      </c>
      <c r="N36" s="351" t="s">
        <v>545</v>
      </c>
      <c r="O36" s="351" t="s">
        <v>545</v>
      </c>
      <c r="P36" s="351" t="s">
        <v>545</v>
      </c>
      <c r="Q36" s="351" t="s">
        <v>545</v>
      </c>
      <c r="R36" s="351" t="s">
        <v>545</v>
      </c>
    </row>
    <row r="37" spans="1:18" s="362" customFormat="1" ht="31.5" x14ac:dyDescent="0.25">
      <c r="A37" s="14" t="s">
        <v>700</v>
      </c>
      <c r="B37" s="419" t="s">
        <v>737</v>
      </c>
      <c r="C37" s="390" t="s">
        <v>723</v>
      </c>
      <c r="D37" s="351" t="s">
        <v>427</v>
      </c>
      <c r="E37" s="351" t="s">
        <v>36</v>
      </c>
      <c r="F37" s="351" t="s">
        <v>428</v>
      </c>
      <c r="G37" s="351">
        <v>0</v>
      </c>
      <c r="H37" s="351" t="s">
        <v>545</v>
      </c>
      <c r="I37" s="351" t="s">
        <v>545</v>
      </c>
      <c r="J37" s="351" t="s">
        <v>545</v>
      </c>
      <c r="K37" s="351" t="s">
        <v>545</v>
      </c>
      <c r="L37" s="351" t="s">
        <v>545</v>
      </c>
      <c r="M37" s="370" t="s">
        <v>429</v>
      </c>
      <c r="N37" s="351" t="s">
        <v>545</v>
      </c>
      <c r="O37" s="351" t="s">
        <v>545</v>
      </c>
      <c r="P37" s="351" t="s">
        <v>545</v>
      </c>
      <c r="Q37" s="351" t="s">
        <v>545</v>
      </c>
      <c r="R37" s="351" t="s">
        <v>545</v>
      </c>
    </row>
    <row r="38" spans="1:18" s="200" customFormat="1" ht="31.5" x14ac:dyDescent="0.25">
      <c r="A38" s="197" t="s">
        <v>112</v>
      </c>
      <c r="B38" s="11" t="s">
        <v>113</v>
      </c>
      <c r="C38" s="198"/>
      <c r="D38" s="198"/>
      <c r="E38" s="198"/>
      <c r="F38" s="198"/>
      <c r="G38" s="198"/>
      <c r="H38" s="198"/>
      <c r="I38" s="198"/>
      <c r="J38" s="198"/>
      <c r="K38" s="198"/>
      <c r="L38" s="212"/>
      <c r="M38" s="212"/>
      <c r="N38" s="212"/>
      <c r="O38" s="212"/>
      <c r="P38" s="212"/>
      <c r="Q38" s="212"/>
      <c r="R38" s="212"/>
    </row>
    <row r="39" spans="1:18" s="196" customFormat="1" ht="31.5" x14ac:dyDescent="0.25">
      <c r="A39" s="194" t="s">
        <v>47</v>
      </c>
      <c r="B39" s="65" t="s">
        <v>48</v>
      </c>
      <c r="C39" s="195">
        <v>0</v>
      </c>
      <c r="D39" s="195">
        <f>D40</f>
        <v>0</v>
      </c>
      <c r="E39" s="195">
        <f t="shared" ref="E39:K39" si="33">E40</f>
        <v>0</v>
      </c>
      <c r="F39" s="195">
        <f t="shared" si="33"/>
        <v>0</v>
      </c>
      <c r="G39" s="195">
        <f t="shared" si="33"/>
        <v>0</v>
      </c>
      <c r="H39" s="195">
        <f t="shared" si="33"/>
        <v>0</v>
      </c>
      <c r="I39" s="195">
        <f t="shared" si="33"/>
        <v>0</v>
      </c>
      <c r="J39" s="195">
        <f t="shared" si="33"/>
        <v>0</v>
      </c>
      <c r="K39" s="195">
        <f t="shared" si="33"/>
        <v>0</v>
      </c>
      <c r="L39" s="195">
        <f t="shared" ref="L39" si="34">L40</f>
        <v>0</v>
      </c>
      <c r="M39" s="195">
        <f t="shared" ref="M39" si="35">M40</f>
        <v>0</v>
      </c>
      <c r="N39" s="195">
        <f t="shared" ref="N39" si="36">N40</f>
        <v>0</v>
      </c>
      <c r="O39" s="195">
        <f t="shared" ref="O39" si="37">O40</f>
        <v>0</v>
      </c>
      <c r="P39" s="195">
        <f t="shared" ref="P39" si="38">P40</f>
        <v>0</v>
      </c>
      <c r="Q39" s="195">
        <f t="shared" ref="Q39" si="39">Q40</f>
        <v>0</v>
      </c>
      <c r="R39" s="195">
        <f t="shared" ref="R39" si="40">R40</f>
        <v>0</v>
      </c>
    </row>
    <row r="40" spans="1:18" s="200" customFormat="1" x14ac:dyDescent="0.25">
      <c r="A40" s="197" t="s">
        <v>74</v>
      </c>
      <c r="B40" s="11" t="s">
        <v>75</v>
      </c>
      <c r="C40" s="198">
        <v>0</v>
      </c>
      <c r="D40" s="198">
        <v>0</v>
      </c>
      <c r="E40" s="198">
        <v>0</v>
      </c>
      <c r="F40" s="198">
        <v>0</v>
      </c>
      <c r="G40" s="198">
        <f>G44</f>
        <v>0</v>
      </c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</row>
    <row r="41" spans="1:18" s="362" customFormat="1" ht="47.25" x14ac:dyDescent="0.25">
      <c r="A41" s="14" t="s">
        <v>76</v>
      </c>
      <c r="B41" s="417" t="s">
        <v>738</v>
      </c>
      <c r="C41" s="390" t="s">
        <v>724</v>
      </c>
      <c r="D41" s="351" t="s">
        <v>427</v>
      </c>
      <c r="E41" s="351" t="s">
        <v>36</v>
      </c>
      <c r="F41" s="399" t="s">
        <v>663</v>
      </c>
      <c r="G41" s="351">
        <v>0</v>
      </c>
      <c r="H41" s="351" t="s">
        <v>545</v>
      </c>
      <c r="I41" s="351" t="s">
        <v>545</v>
      </c>
      <c r="J41" s="351" t="s">
        <v>545</v>
      </c>
      <c r="K41" s="351" t="s">
        <v>545</v>
      </c>
      <c r="L41" s="351" t="s">
        <v>545</v>
      </c>
      <c r="M41" s="370" t="s">
        <v>429</v>
      </c>
      <c r="N41" s="351" t="s">
        <v>545</v>
      </c>
      <c r="O41" s="351" t="s">
        <v>545</v>
      </c>
      <c r="P41" s="351" t="s">
        <v>545</v>
      </c>
      <c r="Q41" s="351" t="s">
        <v>545</v>
      </c>
      <c r="R41" s="351" t="s">
        <v>545</v>
      </c>
    </row>
    <row r="42" spans="1:18" s="362" customFormat="1" ht="31.5" x14ac:dyDescent="0.25">
      <c r="A42" s="14" t="s">
        <v>659</v>
      </c>
      <c r="B42" s="417" t="s">
        <v>739</v>
      </c>
      <c r="C42" s="390" t="s">
        <v>725</v>
      </c>
      <c r="D42" s="351" t="s">
        <v>427</v>
      </c>
      <c r="E42" s="351" t="s">
        <v>36</v>
      </c>
      <c r="F42" s="351" t="s">
        <v>428</v>
      </c>
      <c r="G42" s="351"/>
      <c r="H42" s="351" t="s">
        <v>545</v>
      </c>
      <c r="I42" s="351" t="s">
        <v>545</v>
      </c>
      <c r="J42" s="351" t="s">
        <v>545</v>
      </c>
      <c r="K42" s="351" t="s">
        <v>545</v>
      </c>
      <c r="L42" s="351" t="s">
        <v>545</v>
      </c>
      <c r="M42" s="370" t="s">
        <v>429</v>
      </c>
      <c r="N42" s="351" t="s">
        <v>545</v>
      </c>
      <c r="O42" s="351" t="s">
        <v>545</v>
      </c>
      <c r="P42" s="351" t="s">
        <v>545</v>
      </c>
      <c r="Q42" s="351" t="s">
        <v>545</v>
      </c>
      <c r="R42" s="351" t="s">
        <v>545</v>
      </c>
    </row>
    <row r="43" spans="1:18" s="362" customFormat="1" ht="31.5" x14ac:dyDescent="0.25">
      <c r="A43" s="14" t="s">
        <v>661</v>
      </c>
      <c r="B43" s="417" t="s">
        <v>740</v>
      </c>
      <c r="C43" s="390" t="s">
        <v>726</v>
      </c>
      <c r="D43" s="351" t="s">
        <v>427</v>
      </c>
      <c r="E43" s="351" t="s">
        <v>36</v>
      </c>
      <c r="F43" s="351" t="s">
        <v>428</v>
      </c>
      <c r="G43" s="351"/>
      <c r="H43" s="351" t="s">
        <v>545</v>
      </c>
      <c r="I43" s="351" t="s">
        <v>545</v>
      </c>
      <c r="J43" s="351" t="s">
        <v>545</v>
      </c>
      <c r="K43" s="351" t="s">
        <v>545</v>
      </c>
      <c r="L43" s="351" t="s">
        <v>545</v>
      </c>
      <c r="M43" s="370" t="s">
        <v>429</v>
      </c>
      <c r="N43" s="351" t="s">
        <v>545</v>
      </c>
      <c r="O43" s="351" t="s">
        <v>545</v>
      </c>
      <c r="P43" s="351" t="s">
        <v>545</v>
      </c>
      <c r="Q43" s="351" t="s">
        <v>545</v>
      </c>
      <c r="R43" s="351" t="s">
        <v>545</v>
      </c>
    </row>
    <row r="44" spans="1:18" s="362" customFormat="1" ht="47.25" x14ac:dyDescent="0.25">
      <c r="A44" s="14" t="s">
        <v>662</v>
      </c>
      <c r="B44" s="417" t="s">
        <v>741</v>
      </c>
      <c r="C44" s="390" t="s">
        <v>727</v>
      </c>
      <c r="D44" s="351" t="s">
        <v>427</v>
      </c>
      <c r="E44" s="351" t="s">
        <v>36</v>
      </c>
      <c r="F44" s="399" t="s">
        <v>663</v>
      </c>
      <c r="G44" s="351">
        <v>0</v>
      </c>
      <c r="H44" s="351" t="s">
        <v>545</v>
      </c>
      <c r="I44" s="351" t="s">
        <v>545</v>
      </c>
      <c r="J44" s="351" t="s">
        <v>545</v>
      </c>
      <c r="K44" s="351" t="s">
        <v>545</v>
      </c>
      <c r="L44" s="351" t="s">
        <v>545</v>
      </c>
      <c r="M44" s="370" t="s">
        <v>429</v>
      </c>
      <c r="N44" s="351" t="s">
        <v>545</v>
      </c>
      <c r="O44" s="351" t="s">
        <v>545</v>
      </c>
      <c r="P44" s="351" t="s">
        <v>545</v>
      </c>
      <c r="Q44" s="351" t="s">
        <v>545</v>
      </c>
      <c r="R44" s="351" t="s">
        <v>545</v>
      </c>
    </row>
    <row r="45" spans="1:18" s="200" customFormat="1" ht="31.5" hidden="1" x14ac:dyDescent="0.25">
      <c r="A45" s="197" t="s">
        <v>114</v>
      </c>
      <c r="B45" s="11" t="s">
        <v>115</v>
      </c>
      <c r="C45" s="198"/>
      <c r="D45" s="198"/>
      <c r="E45" s="198"/>
      <c r="F45" s="198"/>
      <c r="G45" s="198"/>
      <c r="H45" s="198"/>
      <c r="I45" s="198"/>
      <c r="J45" s="198"/>
      <c r="K45" s="198"/>
      <c r="L45" s="212"/>
      <c r="M45" s="212"/>
      <c r="N45" s="212"/>
      <c r="O45" s="212"/>
      <c r="P45" s="212"/>
      <c r="Q45" s="212"/>
      <c r="R45" s="212"/>
    </row>
    <row r="46" spans="1:18" s="196" customFormat="1" ht="31.5" x14ac:dyDescent="0.25">
      <c r="A46" s="194" t="s">
        <v>116</v>
      </c>
      <c r="B46" s="65" t="s">
        <v>117</v>
      </c>
      <c r="C46" s="195">
        <v>0</v>
      </c>
      <c r="D46" s="195">
        <f>D56</f>
        <v>0</v>
      </c>
      <c r="E46" s="195">
        <f t="shared" ref="E46:K46" si="41">E56</f>
        <v>0</v>
      </c>
      <c r="F46" s="195">
        <f t="shared" si="41"/>
        <v>0</v>
      </c>
      <c r="G46" s="195">
        <f t="shared" si="41"/>
        <v>0</v>
      </c>
      <c r="H46" s="195">
        <f t="shared" si="41"/>
        <v>0</v>
      </c>
      <c r="I46" s="195">
        <f t="shared" si="41"/>
        <v>0</v>
      </c>
      <c r="J46" s="195">
        <f t="shared" si="41"/>
        <v>0</v>
      </c>
      <c r="K46" s="195">
        <f t="shared" si="41"/>
        <v>0</v>
      </c>
      <c r="L46" s="195">
        <f t="shared" ref="L46:R46" si="42">L56</f>
        <v>0</v>
      </c>
      <c r="M46" s="195">
        <f t="shared" si="42"/>
        <v>0</v>
      </c>
      <c r="N46" s="195">
        <f t="shared" si="42"/>
        <v>0</v>
      </c>
      <c r="O46" s="195">
        <f t="shared" si="42"/>
        <v>0</v>
      </c>
      <c r="P46" s="195">
        <f t="shared" si="42"/>
        <v>0</v>
      </c>
      <c r="Q46" s="195">
        <f t="shared" si="42"/>
        <v>0</v>
      </c>
      <c r="R46" s="195">
        <f t="shared" si="42"/>
        <v>0</v>
      </c>
    </row>
    <row r="47" spans="1:18" s="200" customFormat="1" ht="31.5" outlineLevel="1" x14ac:dyDescent="0.25">
      <c r="A47" s="197" t="s">
        <v>118</v>
      </c>
      <c r="B47" s="11" t="s">
        <v>119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</row>
    <row r="48" spans="1:18" s="200" customFormat="1" ht="78.75" outlineLevel="1" x14ac:dyDescent="0.25">
      <c r="A48" s="14" t="s">
        <v>701</v>
      </c>
      <c r="B48" s="421" t="s">
        <v>706</v>
      </c>
      <c r="C48" s="390" t="s">
        <v>728</v>
      </c>
      <c r="D48" s="351" t="s">
        <v>427</v>
      </c>
      <c r="E48" s="351" t="s">
        <v>36</v>
      </c>
      <c r="F48" s="399" t="s">
        <v>1412</v>
      </c>
      <c r="G48" s="351">
        <v>0</v>
      </c>
      <c r="H48" s="351" t="s">
        <v>545</v>
      </c>
      <c r="I48" s="351" t="s">
        <v>545</v>
      </c>
      <c r="J48" s="351" t="s">
        <v>545</v>
      </c>
      <c r="K48" s="351" t="s">
        <v>545</v>
      </c>
      <c r="L48" s="351" t="s">
        <v>545</v>
      </c>
      <c r="M48" s="370" t="s">
        <v>429</v>
      </c>
      <c r="N48" s="351" t="s">
        <v>545</v>
      </c>
      <c r="O48" s="351" t="s">
        <v>545</v>
      </c>
      <c r="P48" s="351" t="s">
        <v>545</v>
      </c>
      <c r="Q48" s="351" t="s">
        <v>545</v>
      </c>
      <c r="R48" s="351" t="s">
        <v>545</v>
      </c>
    </row>
    <row r="49" spans="1:18" s="200" customFormat="1" ht="78.75" outlineLevel="1" x14ac:dyDescent="0.25">
      <c r="A49" s="14" t="s">
        <v>702</v>
      </c>
      <c r="B49" s="421" t="s">
        <v>706</v>
      </c>
      <c r="C49" s="390" t="s">
        <v>729</v>
      </c>
      <c r="D49" s="351" t="s">
        <v>427</v>
      </c>
      <c r="E49" s="351" t="s">
        <v>36</v>
      </c>
      <c r="F49" s="399" t="s">
        <v>1412</v>
      </c>
      <c r="G49" s="351"/>
      <c r="H49" s="351" t="s">
        <v>545</v>
      </c>
      <c r="I49" s="351" t="s">
        <v>545</v>
      </c>
      <c r="J49" s="351" t="s">
        <v>545</v>
      </c>
      <c r="K49" s="351" t="s">
        <v>545</v>
      </c>
      <c r="L49" s="351" t="s">
        <v>545</v>
      </c>
      <c r="M49" s="370" t="s">
        <v>429</v>
      </c>
      <c r="N49" s="351" t="s">
        <v>545</v>
      </c>
      <c r="O49" s="351" t="s">
        <v>545</v>
      </c>
      <c r="P49" s="351" t="s">
        <v>545</v>
      </c>
      <c r="Q49" s="351" t="s">
        <v>545</v>
      </c>
      <c r="R49" s="351" t="s">
        <v>545</v>
      </c>
    </row>
    <row r="50" spans="1:18" s="200" customFormat="1" ht="78.75" outlineLevel="1" x14ac:dyDescent="0.25">
      <c r="A50" s="14" t="s">
        <v>703</v>
      </c>
      <c r="B50" s="421" t="s">
        <v>706</v>
      </c>
      <c r="C50" s="390" t="s">
        <v>730</v>
      </c>
      <c r="D50" s="351" t="s">
        <v>427</v>
      </c>
      <c r="E50" s="351" t="s">
        <v>36</v>
      </c>
      <c r="F50" s="399" t="s">
        <v>1412</v>
      </c>
      <c r="G50" s="351"/>
      <c r="H50" s="351" t="s">
        <v>545</v>
      </c>
      <c r="I50" s="351" t="s">
        <v>545</v>
      </c>
      <c r="J50" s="351" t="s">
        <v>545</v>
      </c>
      <c r="K50" s="351" t="s">
        <v>545</v>
      </c>
      <c r="L50" s="351" t="s">
        <v>545</v>
      </c>
      <c r="M50" s="370" t="s">
        <v>429</v>
      </c>
      <c r="N50" s="351" t="s">
        <v>545</v>
      </c>
      <c r="O50" s="351" t="s">
        <v>545</v>
      </c>
      <c r="P50" s="351" t="s">
        <v>545</v>
      </c>
      <c r="Q50" s="351" t="s">
        <v>545</v>
      </c>
      <c r="R50" s="351" t="s">
        <v>545</v>
      </c>
    </row>
    <row r="51" spans="1:18" s="200" customFormat="1" ht="78.75" outlineLevel="1" x14ac:dyDescent="0.25">
      <c r="A51" s="14" t="s">
        <v>704</v>
      </c>
      <c r="B51" s="421" t="s">
        <v>706</v>
      </c>
      <c r="C51" s="390" t="s">
        <v>731</v>
      </c>
      <c r="D51" s="351" t="s">
        <v>427</v>
      </c>
      <c r="E51" s="351" t="s">
        <v>36</v>
      </c>
      <c r="F51" s="399" t="s">
        <v>1412</v>
      </c>
      <c r="G51" s="351">
        <v>0</v>
      </c>
      <c r="H51" s="351" t="s">
        <v>545</v>
      </c>
      <c r="I51" s="351" t="s">
        <v>545</v>
      </c>
      <c r="J51" s="351" t="s">
        <v>545</v>
      </c>
      <c r="K51" s="351" t="s">
        <v>545</v>
      </c>
      <c r="L51" s="351" t="s">
        <v>545</v>
      </c>
      <c r="M51" s="370" t="s">
        <v>429</v>
      </c>
      <c r="N51" s="351" t="s">
        <v>545</v>
      </c>
      <c r="O51" s="351" t="s">
        <v>545</v>
      </c>
      <c r="P51" s="351" t="s">
        <v>545</v>
      </c>
      <c r="Q51" s="351" t="s">
        <v>545</v>
      </c>
      <c r="R51" s="351" t="s">
        <v>545</v>
      </c>
    </row>
    <row r="52" spans="1:18" s="200" customFormat="1" ht="78.75" outlineLevel="1" x14ac:dyDescent="0.25">
      <c r="A52" s="14" t="s">
        <v>705</v>
      </c>
      <c r="B52" s="421" t="s">
        <v>706</v>
      </c>
      <c r="C52" s="390" t="s">
        <v>732</v>
      </c>
      <c r="D52" s="351" t="s">
        <v>427</v>
      </c>
      <c r="E52" s="351" t="s">
        <v>36</v>
      </c>
      <c r="F52" s="399" t="s">
        <v>1412</v>
      </c>
      <c r="G52" s="351">
        <v>0</v>
      </c>
      <c r="H52" s="351" t="s">
        <v>545</v>
      </c>
      <c r="I52" s="351" t="s">
        <v>545</v>
      </c>
      <c r="J52" s="351" t="s">
        <v>545</v>
      </c>
      <c r="K52" s="351" t="s">
        <v>545</v>
      </c>
      <c r="L52" s="351" t="s">
        <v>545</v>
      </c>
      <c r="M52" s="370" t="s">
        <v>429</v>
      </c>
      <c r="N52" s="351" t="s">
        <v>545</v>
      </c>
      <c r="O52" s="351" t="s">
        <v>545</v>
      </c>
      <c r="P52" s="351" t="s">
        <v>545</v>
      </c>
      <c r="Q52" s="351" t="s">
        <v>545</v>
      </c>
      <c r="R52" s="351" t="s">
        <v>545</v>
      </c>
    </row>
    <row r="53" spans="1:18" s="200" customFormat="1" ht="31.5" outlineLevel="1" x14ac:dyDescent="0.25">
      <c r="A53" s="197" t="s">
        <v>120</v>
      </c>
      <c r="B53" s="11" t="s">
        <v>49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</row>
    <row r="54" spans="1:18" s="200" customFormat="1" outlineLevel="1" x14ac:dyDescent="0.25">
      <c r="A54" s="197" t="s">
        <v>50</v>
      </c>
      <c r="B54" s="11" t="s">
        <v>51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</row>
    <row r="55" spans="1:18" s="200" customFormat="1" ht="31.5" outlineLevel="1" x14ac:dyDescent="0.25">
      <c r="A55" s="197" t="s">
        <v>52</v>
      </c>
      <c r="B55" s="11" t="s">
        <v>53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</row>
    <row r="56" spans="1:18" s="200" customFormat="1" ht="31.5" x14ac:dyDescent="0.25">
      <c r="A56" s="197" t="s">
        <v>54</v>
      </c>
      <c r="B56" s="11" t="s">
        <v>55</v>
      </c>
      <c r="C56" s="198">
        <v>0</v>
      </c>
      <c r="D56" s="198">
        <f>D57</f>
        <v>0</v>
      </c>
      <c r="E56" s="198">
        <f t="shared" ref="E56:G56" si="43">E57</f>
        <v>0</v>
      </c>
      <c r="F56" s="198">
        <f t="shared" si="43"/>
        <v>0</v>
      </c>
      <c r="G56" s="198">
        <f t="shared" si="43"/>
        <v>0</v>
      </c>
      <c r="H56" s="198">
        <v>0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  <c r="R56" s="198">
        <v>0</v>
      </c>
    </row>
    <row r="57" spans="1:18" s="362" customFormat="1" x14ac:dyDescent="0.25">
      <c r="A57" s="197"/>
      <c r="B57" s="1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70"/>
      <c r="N57" s="351"/>
      <c r="O57" s="351"/>
      <c r="P57" s="351"/>
      <c r="Q57" s="351"/>
      <c r="R57" s="351"/>
    </row>
    <row r="58" spans="1:18" s="134" customFormat="1" ht="31.5" hidden="1" outlineLevel="1" x14ac:dyDescent="0.25">
      <c r="A58" s="60" t="s">
        <v>56</v>
      </c>
      <c r="B58" s="203" t="s">
        <v>57</v>
      </c>
      <c r="C58" s="204"/>
      <c r="D58" s="204"/>
      <c r="E58" s="205"/>
      <c r="F58" s="205"/>
      <c r="G58" s="204"/>
      <c r="H58" s="206"/>
      <c r="I58" s="206"/>
      <c r="J58" s="207"/>
      <c r="K58" s="204"/>
    </row>
    <row r="59" spans="1:18" ht="31.5" hidden="1" outlineLevel="1" x14ac:dyDescent="0.25">
      <c r="A59" s="60" t="s">
        <v>58</v>
      </c>
      <c r="B59" s="61" t="s">
        <v>59</v>
      </c>
      <c r="C59" s="56"/>
      <c r="D59" s="56"/>
      <c r="E59" s="62"/>
      <c r="F59" s="62"/>
      <c r="G59" s="56"/>
      <c r="H59" s="56"/>
      <c r="I59" s="56"/>
      <c r="J59" s="63"/>
      <c r="K59" s="56"/>
    </row>
    <row r="60" spans="1:18" ht="31.5" hidden="1" outlineLevel="1" x14ac:dyDescent="0.25">
      <c r="A60" s="14" t="s">
        <v>60</v>
      </c>
      <c r="B60" s="16" t="s">
        <v>61</v>
      </c>
      <c r="C60" s="17"/>
      <c r="D60" s="17"/>
      <c r="E60" s="47"/>
      <c r="F60" s="47"/>
      <c r="G60" s="17"/>
      <c r="H60" s="17"/>
      <c r="I60" s="17"/>
      <c r="J60" s="52"/>
      <c r="K60" s="17"/>
    </row>
    <row r="61" spans="1:18" s="25" customFormat="1" ht="31.5" hidden="1" outlineLevel="1" x14ac:dyDescent="0.25">
      <c r="A61" s="22" t="s">
        <v>62</v>
      </c>
      <c r="B61" s="23" t="s">
        <v>63</v>
      </c>
      <c r="C61" s="24"/>
      <c r="D61" s="24"/>
      <c r="E61" s="48"/>
      <c r="F61" s="48"/>
      <c r="G61" s="24"/>
      <c r="H61" s="24"/>
      <c r="I61" s="24"/>
      <c r="J61" s="53"/>
      <c r="K61" s="24"/>
    </row>
    <row r="62" spans="1:18" hidden="1" outlineLevel="1" x14ac:dyDescent="0.25">
      <c r="A62" s="14" t="s">
        <v>64</v>
      </c>
      <c r="B62" s="16" t="s">
        <v>65</v>
      </c>
      <c r="C62" s="17"/>
      <c r="D62" s="17"/>
      <c r="E62" s="47"/>
      <c r="F62" s="47"/>
      <c r="G62" s="17"/>
      <c r="H62" s="17"/>
      <c r="I62" s="17"/>
      <c r="J62" s="52"/>
      <c r="K62" s="17"/>
    </row>
    <row r="63" spans="1:18" ht="31.5" hidden="1" outlineLevel="1" x14ac:dyDescent="0.25">
      <c r="A63" s="14" t="s">
        <v>66</v>
      </c>
      <c r="B63" s="16" t="s">
        <v>67</v>
      </c>
      <c r="C63" s="17"/>
      <c r="D63" s="17"/>
      <c r="E63" s="47"/>
      <c r="F63" s="47"/>
      <c r="G63" s="17"/>
      <c r="H63" s="17"/>
      <c r="I63" s="17"/>
      <c r="J63" s="52"/>
      <c r="K63" s="17"/>
    </row>
    <row r="64" spans="1:18" s="28" customFormat="1" ht="47.25" hidden="1" outlineLevel="1" collapsed="1" x14ac:dyDescent="0.25">
      <c r="A64" s="20" t="s">
        <v>68</v>
      </c>
      <c r="B64" s="32" t="s">
        <v>69</v>
      </c>
      <c r="C64" s="27"/>
      <c r="D64" s="27"/>
      <c r="E64" s="49"/>
      <c r="F64" s="49"/>
      <c r="G64" s="27"/>
      <c r="H64" s="27"/>
      <c r="I64" s="27"/>
      <c r="J64" s="54"/>
      <c r="K64" s="27"/>
    </row>
    <row r="65" spans="1:18" s="25" customFormat="1" ht="31.5" hidden="1" outlineLevel="1" x14ac:dyDescent="0.25">
      <c r="A65" s="22" t="s">
        <v>70</v>
      </c>
      <c r="B65" s="23" t="s">
        <v>71</v>
      </c>
      <c r="C65" s="24"/>
      <c r="D65" s="24"/>
      <c r="E65" s="48"/>
      <c r="F65" s="48"/>
      <c r="G65" s="24"/>
      <c r="H65" s="24"/>
      <c r="I65" s="24"/>
      <c r="J65" s="53"/>
      <c r="K65" s="24"/>
    </row>
    <row r="66" spans="1:18" s="25" customFormat="1" ht="31.5" hidden="1" outlineLevel="1" x14ac:dyDescent="0.25">
      <c r="A66" s="302" t="s">
        <v>72</v>
      </c>
      <c r="B66" s="303" t="s">
        <v>73</v>
      </c>
      <c r="C66" s="304"/>
      <c r="D66" s="304"/>
      <c r="E66" s="305"/>
      <c r="F66" s="305"/>
      <c r="G66" s="304"/>
      <c r="H66" s="304"/>
      <c r="I66" s="304"/>
      <c r="J66" s="306"/>
      <c r="K66" s="304"/>
    </row>
    <row r="67" spans="1:18" s="310" customFormat="1" collapsed="1" x14ac:dyDescent="0.25">
      <c r="A67" s="20" t="s">
        <v>528</v>
      </c>
      <c r="B67" s="265" t="s">
        <v>529</v>
      </c>
      <c r="C67" s="307"/>
      <c r="D67" s="307"/>
      <c r="E67" s="308"/>
      <c r="F67" s="308"/>
      <c r="G67" s="307"/>
      <c r="H67" s="307"/>
      <c r="I67" s="307"/>
      <c r="J67" s="309"/>
      <c r="K67" s="307"/>
      <c r="L67" s="307"/>
      <c r="M67" s="307"/>
      <c r="N67" s="307"/>
      <c r="O67" s="307"/>
      <c r="P67" s="307"/>
      <c r="Q67" s="307"/>
      <c r="R67" s="307"/>
    </row>
    <row r="68" spans="1:18" s="345" customFormat="1" ht="31.5" x14ac:dyDescent="0.25">
      <c r="A68" s="341" t="s">
        <v>530</v>
      </c>
      <c r="B68" s="419" t="s">
        <v>708</v>
      </c>
      <c r="C68" s="390" t="s">
        <v>733</v>
      </c>
      <c r="D68" s="351" t="s">
        <v>427</v>
      </c>
      <c r="E68" s="351" t="s">
        <v>36</v>
      </c>
      <c r="F68" s="351" t="s">
        <v>428</v>
      </c>
      <c r="G68" s="351">
        <v>0</v>
      </c>
      <c r="H68" s="351" t="s">
        <v>545</v>
      </c>
      <c r="I68" s="351" t="s">
        <v>545</v>
      </c>
      <c r="J68" s="351" t="s">
        <v>545</v>
      </c>
      <c r="K68" s="351" t="s">
        <v>545</v>
      </c>
      <c r="L68" s="351" t="s">
        <v>545</v>
      </c>
      <c r="M68" s="370" t="s">
        <v>429</v>
      </c>
      <c r="N68" s="351" t="s">
        <v>545</v>
      </c>
      <c r="O68" s="351" t="s">
        <v>545</v>
      </c>
      <c r="P68" s="351" t="s">
        <v>545</v>
      </c>
      <c r="Q68" s="351" t="s">
        <v>545</v>
      </c>
      <c r="R68" s="351" t="s">
        <v>545</v>
      </c>
    </row>
    <row r="69" spans="1:18" s="345" customFormat="1" ht="31.5" x14ac:dyDescent="0.25">
      <c r="A69" s="341" t="s">
        <v>707</v>
      </c>
      <c r="B69" s="419" t="s">
        <v>709</v>
      </c>
      <c r="C69" s="390" t="s">
        <v>734</v>
      </c>
      <c r="D69" s="351" t="s">
        <v>427</v>
      </c>
      <c r="E69" s="351" t="s">
        <v>36</v>
      </c>
      <c r="F69" s="351" t="s">
        <v>428</v>
      </c>
      <c r="G69" s="351">
        <v>0</v>
      </c>
      <c r="H69" s="351" t="s">
        <v>545</v>
      </c>
      <c r="I69" s="351" t="s">
        <v>545</v>
      </c>
      <c r="J69" s="351" t="s">
        <v>545</v>
      </c>
      <c r="K69" s="351" t="s">
        <v>545</v>
      </c>
      <c r="L69" s="351" t="s">
        <v>545</v>
      </c>
      <c r="M69" s="370" t="s">
        <v>429</v>
      </c>
      <c r="N69" s="351" t="s">
        <v>545</v>
      </c>
      <c r="O69" s="351" t="s">
        <v>545</v>
      </c>
      <c r="P69" s="351" t="s">
        <v>545</v>
      </c>
      <c r="Q69" s="351" t="s">
        <v>545</v>
      </c>
      <c r="R69" s="351" t="s">
        <v>545</v>
      </c>
    </row>
    <row r="72" spans="1:18" x14ac:dyDescent="0.25">
      <c r="J72"/>
      <c r="K72" s="55"/>
      <c r="N72" s="55"/>
    </row>
    <row r="73" spans="1:18" x14ac:dyDescent="0.25">
      <c r="J73"/>
      <c r="K73" s="55"/>
      <c r="N73" s="55"/>
    </row>
    <row r="74" spans="1:18" x14ac:dyDescent="0.25">
      <c r="M74" s="55"/>
    </row>
    <row r="75" spans="1:18" x14ac:dyDescent="0.25">
      <c r="M75" s="55"/>
    </row>
    <row r="76" spans="1:18" ht="18.75" x14ac:dyDescent="0.25">
      <c r="B76" s="278" t="s">
        <v>77</v>
      </c>
      <c r="C76" s="279"/>
      <c r="D76" s="279"/>
      <c r="E76" s="279" t="s">
        <v>668</v>
      </c>
      <c r="M76" s="55"/>
    </row>
    <row r="77" spans="1:18" ht="18.75" x14ac:dyDescent="0.25">
      <c r="B77" s="278"/>
      <c r="C77" s="279"/>
      <c r="D77" s="279"/>
      <c r="E77" s="279"/>
      <c r="M77" s="55"/>
    </row>
    <row r="78" spans="1:18" ht="18.75" x14ac:dyDescent="0.25">
      <c r="B78" s="278"/>
      <c r="C78" s="279"/>
      <c r="D78" s="279"/>
      <c r="E78" s="279"/>
      <c r="M78" s="55"/>
    </row>
    <row r="79" spans="1:18" x14ac:dyDescent="0.25">
      <c r="M79" s="55"/>
    </row>
    <row r="80" spans="1:18" x14ac:dyDescent="0.25">
      <c r="M80" s="55"/>
    </row>
    <row r="81" spans="1:11" s="41" customFormat="1" x14ac:dyDescent="0.25">
      <c r="A81" s="613" t="s">
        <v>207</v>
      </c>
      <c r="B81" s="613"/>
      <c r="C81" s="613"/>
      <c r="D81" s="613"/>
      <c r="E81" s="613"/>
      <c r="F81" s="613"/>
      <c r="G81" s="613"/>
      <c r="H81" s="613"/>
      <c r="I81" s="613"/>
      <c r="J81" s="613"/>
      <c r="K81" s="613"/>
    </row>
    <row r="82" spans="1:11" s="41" customFormat="1" x14ac:dyDescent="0.25">
      <c r="A82" s="614" t="s">
        <v>208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</row>
    <row r="83" spans="1:11" s="41" customFormat="1" x14ac:dyDescent="0.25">
      <c r="A83" s="614" t="s">
        <v>209</v>
      </c>
      <c r="B83" s="614"/>
      <c r="C83" s="614"/>
      <c r="D83" s="614"/>
      <c r="E83" s="614"/>
      <c r="F83" s="614"/>
      <c r="G83" s="614"/>
      <c r="H83" s="614"/>
      <c r="I83" s="614"/>
      <c r="J83" s="614"/>
      <c r="K83" s="614"/>
    </row>
    <row r="84" spans="1:11" s="41" customFormat="1" x14ac:dyDescent="0.25">
      <c r="A84" s="614" t="s">
        <v>210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</row>
  </sheetData>
  <mergeCells count="9">
    <mergeCell ref="A81:K81"/>
    <mergeCell ref="A82:K82"/>
    <mergeCell ref="A83:K83"/>
    <mergeCell ref="A84:K84"/>
    <mergeCell ref="A1:R1"/>
    <mergeCell ref="A3:R3"/>
    <mergeCell ref="A4:R4"/>
    <mergeCell ref="A6:R6"/>
    <mergeCell ref="A7:R7"/>
  </mergeCells>
  <pageMargins left="0.7" right="0.7" top="0.75" bottom="0.75" header="0.3" footer="0.3"/>
  <pageSetup paperSize="8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85"/>
  <sheetViews>
    <sheetView topLeftCell="A2" zoomScale="41" zoomScaleNormal="41" workbookViewId="0">
      <selection activeCell="O39" sqref="O3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" style="50" bestFit="1" customWidth="1"/>
    <col min="6" max="6" width="12.140625" style="50" bestFit="1" customWidth="1"/>
    <col min="7" max="7" width="16" customWidth="1"/>
    <col min="8" max="8" width="20.140625" customWidth="1"/>
    <col min="9" max="9" width="28.42578125" customWidth="1"/>
    <col min="10" max="10" width="25" style="55" customWidth="1"/>
    <col min="11" max="11" width="22.85546875" customWidth="1"/>
    <col min="12" max="12" width="18.42578125" customWidth="1"/>
    <col min="13" max="13" width="23.140625" customWidth="1"/>
    <col min="14" max="14" width="34.42578125" customWidth="1"/>
    <col min="15" max="15" width="31.140625" customWidth="1"/>
    <col min="16" max="16" width="27.85546875" customWidth="1"/>
    <col min="17" max="17" width="20.42578125" customWidth="1"/>
    <col min="18" max="18" width="20.7109375" customWidth="1"/>
    <col min="19" max="19" width="12.85546875" customWidth="1"/>
    <col min="20" max="20" width="22.7109375" customWidth="1"/>
    <col min="21" max="24" width="10.140625" customWidth="1"/>
    <col min="25" max="26" width="14.5703125" customWidth="1"/>
    <col min="27" max="28" width="10.140625" customWidth="1"/>
    <col min="29" max="29" width="38.28515625" customWidth="1"/>
    <col min="30" max="30" width="18.42578125" customWidth="1"/>
    <col min="31" max="31" width="15.85546875" customWidth="1"/>
  </cols>
  <sheetData>
    <row r="1" spans="1:34" s="2" customFormat="1" x14ac:dyDescent="0.25">
      <c r="A1" s="672" t="s">
        <v>430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Q1" s="227"/>
      <c r="R1" s="227"/>
      <c r="S1" s="227"/>
      <c r="T1" s="228"/>
      <c r="U1" s="228"/>
      <c r="V1" s="228"/>
      <c r="W1" s="228"/>
    </row>
    <row r="2" spans="1:34" s="2" customFormat="1" x14ac:dyDescent="0.25">
      <c r="A2" s="673"/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</row>
    <row r="3" spans="1:34" s="2" customFormat="1" x14ac:dyDescent="0.25">
      <c r="A3" s="670" t="s">
        <v>431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</row>
    <row r="4" spans="1:34" s="2" customFormat="1" x14ac:dyDescent="0.25">
      <c r="A4" s="606" t="s">
        <v>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</row>
    <row r="5" spans="1:34" s="2" customFormat="1" x14ac:dyDescent="0.25">
      <c r="A5" s="670"/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</row>
    <row r="6" spans="1:34" s="232" customFormat="1" x14ac:dyDescent="0.25">
      <c r="A6" s="642" t="s">
        <v>781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s="2" customFormat="1" x14ac:dyDescent="0.25">
      <c r="A7" s="674"/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</row>
    <row r="8" spans="1:34" s="2" customFormat="1" ht="81.75" customHeight="1" x14ac:dyDescent="0.25">
      <c r="A8" s="602" t="s">
        <v>4</v>
      </c>
      <c r="B8" s="602" t="s">
        <v>5</v>
      </c>
      <c r="C8" s="602" t="s">
        <v>432</v>
      </c>
      <c r="D8" s="675" t="s">
        <v>433</v>
      </c>
      <c r="E8" s="678" t="s">
        <v>434</v>
      </c>
      <c r="F8" s="678" t="s">
        <v>435</v>
      </c>
      <c r="G8" s="678" t="s">
        <v>436</v>
      </c>
      <c r="H8" s="602" t="s">
        <v>437</v>
      </c>
      <c r="I8" s="602"/>
      <c r="J8" s="602"/>
      <c r="K8" s="602"/>
      <c r="L8" s="602" t="s">
        <v>438</v>
      </c>
      <c r="M8" s="602"/>
      <c r="N8" s="681" t="s">
        <v>439</v>
      </c>
      <c r="O8" s="681" t="s">
        <v>440</v>
      </c>
      <c r="P8" s="681" t="s">
        <v>441</v>
      </c>
      <c r="Q8" s="675" t="s">
        <v>442</v>
      </c>
      <c r="R8" s="675"/>
      <c r="S8" s="675" t="s">
        <v>443</v>
      </c>
      <c r="T8" s="675" t="s">
        <v>444</v>
      </c>
      <c r="U8" s="676" t="s">
        <v>445</v>
      </c>
      <c r="V8" s="676"/>
      <c r="W8" s="676"/>
      <c r="X8" s="676"/>
      <c r="Y8" s="676"/>
      <c r="Z8" s="676"/>
      <c r="AA8" s="681" t="s">
        <v>446</v>
      </c>
      <c r="AB8" s="681"/>
      <c r="AC8" s="602" t="s">
        <v>447</v>
      </c>
      <c r="AD8" s="602" t="s">
        <v>448</v>
      </c>
      <c r="AE8" s="602"/>
    </row>
    <row r="9" spans="1:34" s="2" customFormat="1" ht="111" customHeight="1" x14ac:dyDescent="0.25">
      <c r="A9" s="602"/>
      <c r="B9" s="602"/>
      <c r="C9" s="602"/>
      <c r="D9" s="675"/>
      <c r="E9" s="679"/>
      <c r="F9" s="679"/>
      <c r="G9" s="679"/>
      <c r="H9" s="602" t="s">
        <v>449</v>
      </c>
      <c r="I9" s="602" t="s">
        <v>450</v>
      </c>
      <c r="J9" s="602" t="s">
        <v>451</v>
      </c>
      <c r="K9" s="678" t="s">
        <v>452</v>
      </c>
      <c r="L9" s="602"/>
      <c r="M9" s="602"/>
      <c r="N9" s="681"/>
      <c r="O9" s="681"/>
      <c r="P9" s="681"/>
      <c r="Q9" s="675"/>
      <c r="R9" s="675"/>
      <c r="S9" s="675"/>
      <c r="T9" s="675"/>
      <c r="U9" s="682" t="s">
        <v>453</v>
      </c>
      <c r="V9" s="682"/>
      <c r="W9" s="681" t="s">
        <v>454</v>
      </c>
      <c r="X9" s="681"/>
      <c r="Y9" s="681" t="s">
        <v>455</v>
      </c>
      <c r="Z9" s="681"/>
      <c r="AA9" s="681"/>
      <c r="AB9" s="681"/>
      <c r="AC9" s="602"/>
      <c r="AD9" s="602"/>
      <c r="AE9" s="602"/>
    </row>
    <row r="10" spans="1:34" s="2" customFormat="1" ht="47.25" x14ac:dyDescent="0.25">
      <c r="A10" s="602"/>
      <c r="B10" s="602"/>
      <c r="C10" s="602"/>
      <c r="D10" s="675"/>
      <c r="E10" s="680"/>
      <c r="F10" s="680"/>
      <c r="G10" s="680"/>
      <c r="H10" s="602"/>
      <c r="I10" s="602"/>
      <c r="J10" s="602"/>
      <c r="K10" s="680"/>
      <c r="L10" s="233" t="s">
        <v>456</v>
      </c>
      <c r="M10" s="157" t="s">
        <v>457</v>
      </c>
      <c r="N10" s="681"/>
      <c r="O10" s="681"/>
      <c r="P10" s="681"/>
      <c r="Q10" s="234" t="s">
        <v>240</v>
      </c>
      <c r="R10" s="234" t="s">
        <v>458</v>
      </c>
      <c r="S10" s="675"/>
      <c r="T10" s="675"/>
      <c r="U10" s="235" t="s">
        <v>459</v>
      </c>
      <c r="V10" s="235" t="s">
        <v>460</v>
      </c>
      <c r="W10" s="235" t="s">
        <v>459</v>
      </c>
      <c r="X10" s="235" t="s">
        <v>460</v>
      </c>
      <c r="Y10" s="233" t="s">
        <v>459</v>
      </c>
      <c r="Z10" s="236" t="s">
        <v>460</v>
      </c>
      <c r="AA10" s="233" t="s">
        <v>459</v>
      </c>
      <c r="AB10" s="236" t="s">
        <v>460</v>
      </c>
      <c r="AC10" s="602"/>
      <c r="AD10" s="237" t="s">
        <v>461</v>
      </c>
      <c r="AE10" s="157" t="s">
        <v>462</v>
      </c>
    </row>
    <row r="11" spans="1:34" s="238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</row>
    <row r="12" spans="1:34" s="185" customFormat="1" x14ac:dyDescent="0.25">
      <c r="A12" s="183" t="s">
        <v>33</v>
      </c>
      <c r="B12" s="64" t="s">
        <v>34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f t="shared" ref="N12:R12" si="0">N13</f>
        <v>0</v>
      </c>
      <c r="O12" s="184">
        <f t="shared" si="0"/>
        <v>0</v>
      </c>
      <c r="P12" s="184">
        <f t="shared" si="0"/>
        <v>0</v>
      </c>
      <c r="Q12" s="184">
        <f t="shared" si="0"/>
        <v>0</v>
      </c>
      <c r="R12" s="184">
        <f t="shared" si="0"/>
        <v>0</v>
      </c>
      <c r="S12" s="184">
        <f t="shared" ref="S12" si="1">S13</f>
        <v>0</v>
      </c>
      <c r="T12" s="184">
        <f t="shared" ref="T12" si="2">T13</f>
        <v>0</v>
      </c>
      <c r="U12" s="184">
        <f t="shared" ref="U12" si="3">U13</f>
        <v>0</v>
      </c>
      <c r="V12" s="184">
        <f t="shared" ref="V12" si="4">V13</f>
        <v>0</v>
      </c>
      <c r="W12" s="184">
        <f t="shared" ref="W12" si="5">W13</f>
        <v>0</v>
      </c>
      <c r="X12" s="184">
        <f t="shared" ref="X12" si="6">X13</f>
        <v>0</v>
      </c>
      <c r="Y12" s="184">
        <f t="shared" ref="Y12" si="7">Y13</f>
        <v>0</v>
      </c>
      <c r="Z12" s="184">
        <f t="shared" ref="Z12" si="8">Z13</f>
        <v>0</v>
      </c>
      <c r="AA12" s="184">
        <f t="shared" ref="AA12" si="9">AA13</f>
        <v>0</v>
      </c>
      <c r="AB12" s="184">
        <f t="shared" ref="AB12" si="10">AB13</f>
        <v>0</v>
      </c>
      <c r="AC12" s="184">
        <f t="shared" ref="AC12" si="11">AC13</f>
        <v>0</v>
      </c>
      <c r="AD12" s="184">
        <f t="shared" ref="AD12" si="12">AD13</f>
        <v>0</v>
      </c>
      <c r="AE12" s="184" t="e">
        <f t="shared" ref="AE12" si="13">AE13</f>
        <v>#VALUE!</v>
      </c>
    </row>
    <row r="13" spans="1:34" s="189" customFormat="1" x14ac:dyDescent="0.25">
      <c r="A13" s="186" t="s">
        <v>81</v>
      </c>
      <c r="B13" s="9" t="s">
        <v>36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f t="shared" ref="N13:R13" si="14">N14+N34</f>
        <v>0</v>
      </c>
      <c r="O13" s="187">
        <f t="shared" si="14"/>
        <v>0</v>
      </c>
      <c r="P13" s="187">
        <f t="shared" si="14"/>
        <v>0</v>
      </c>
      <c r="Q13" s="187">
        <f t="shared" si="14"/>
        <v>0</v>
      </c>
      <c r="R13" s="187">
        <f t="shared" si="14"/>
        <v>0</v>
      </c>
      <c r="S13" s="187">
        <f t="shared" ref="S13" si="15">S14+S34</f>
        <v>0</v>
      </c>
      <c r="T13" s="187">
        <f t="shared" ref="T13" si="16">T14+T34</f>
        <v>0</v>
      </c>
      <c r="U13" s="187">
        <f t="shared" ref="U13" si="17">U14+U34</f>
        <v>0</v>
      </c>
      <c r="V13" s="187">
        <f t="shared" ref="V13" si="18">V14+V34</f>
        <v>0</v>
      </c>
      <c r="W13" s="187">
        <f t="shared" ref="W13" si="19">W14+W34</f>
        <v>0</v>
      </c>
      <c r="X13" s="187">
        <f t="shared" ref="X13" si="20">X14+X34</f>
        <v>0</v>
      </c>
      <c r="Y13" s="187">
        <f t="shared" ref="Y13" si="21">Y14+Y34</f>
        <v>0</v>
      </c>
      <c r="Z13" s="187">
        <f t="shared" ref="Z13" si="22">Z14+Z34</f>
        <v>0</v>
      </c>
      <c r="AA13" s="187">
        <f t="shared" ref="AA13" si="23">AA14+AA34</f>
        <v>0</v>
      </c>
      <c r="AB13" s="187">
        <f t="shared" ref="AB13" si="24">AB14+AB34</f>
        <v>0</v>
      </c>
      <c r="AC13" s="187">
        <f t="shared" ref="AC13" si="25">AC14+AC34</f>
        <v>0</v>
      </c>
      <c r="AD13" s="187">
        <f t="shared" ref="AD13" si="26">AD14+AD34</f>
        <v>0</v>
      </c>
      <c r="AE13" s="187" t="e">
        <f t="shared" ref="AE13" si="27">AE14+AE34</f>
        <v>#VALUE!</v>
      </c>
    </row>
    <row r="14" spans="1:34" s="185" customFormat="1" x14ac:dyDescent="0.25">
      <c r="A14" s="183" t="s">
        <v>37</v>
      </c>
      <c r="B14" s="64" t="s">
        <v>38</v>
      </c>
      <c r="C14" s="184">
        <v>0</v>
      </c>
      <c r="D14" s="184">
        <f>D31</f>
        <v>0</v>
      </c>
      <c r="E14" s="184">
        <f t="shared" ref="E14:R14" si="28">E31</f>
        <v>0</v>
      </c>
      <c r="F14" s="184">
        <f t="shared" si="28"/>
        <v>0</v>
      </c>
      <c r="G14" s="184">
        <f t="shared" si="28"/>
        <v>0</v>
      </c>
      <c r="H14" s="184">
        <f t="shared" si="28"/>
        <v>0</v>
      </c>
      <c r="I14" s="184">
        <f t="shared" si="28"/>
        <v>0</v>
      </c>
      <c r="J14" s="184">
        <f t="shared" si="28"/>
        <v>0</v>
      </c>
      <c r="K14" s="184">
        <f t="shared" si="28"/>
        <v>0</v>
      </c>
      <c r="L14" s="184">
        <f t="shared" si="28"/>
        <v>0</v>
      </c>
      <c r="M14" s="184">
        <f t="shared" si="28"/>
        <v>0</v>
      </c>
      <c r="N14" s="184">
        <f t="shared" si="28"/>
        <v>0</v>
      </c>
      <c r="O14" s="184">
        <f t="shared" si="28"/>
        <v>0</v>
      </c>
      <c r="P14" s="184">
        <f t="shared" si="28"/>
        <v>0</v>
      </c>
      <c r="Q14" s="184">
        <f t="shared" si="28"/>
        <v>0</v>
      </c>
      <c r="R14" s="184">
        <f t="shared" si="28"/>
        <v>0</v>
      </c>
      <c r="S14" s="184">
        <f t="shared" ref="S14:AE14" si="29">S31</f>
        <v>0</v>
      </c>
      <c r="T14" s="184">
        <f t="shared" si="29"/>
        <v>0</v>
      </c>
      <c r="U14" s="184">
        <f t="shared" si="29"/>
        <v>0</v>
      </c>
      <c r="V14" s="184">
        <f t="shared" si="29"/>
        <v>0</v>
      </c>
      <c r="W14" s="184">
        <f t="shared" si="29"/>
        <v>0</v>
      </c>
      <c r="X14" s="184">
        <f t="shared" si="29"/>
        <v>0</v>
      </c>
      <c r="Y14" s="184">
        <f t="shared" si="29"/>
        <v>0</v>
      </c>
      <c r="Z14" s="184">
        <f t="shared" si="29"/>
        <v>0</v>
      </c>
      <c r="AA14" s="184">
        <f t="shared" si="29"/>
        <v>0</v>
      </c>
      <c r="AB14" s="184">
        <f t="shared" si="29"/>
        <v>0</v>
      </c>
      <c r="AC14" s="184">
        <f t="shared" si="29"/>
        <v>0</v>
      </c>
      <c r="AD14" s="184">
        <f t="shared" si="29"/>
        <v>0</v>
      </c>
      <c r="AE14" s="184">
        <f t="shared" si="29"/>
        <v>0</v>
      </c>
    </row>
    <row r="15" spans="1:34" s="193" customFormat="1" ht="31.5" hidden="1" outlineLevel="1" x14ac:dyDescent="0.25">
      <c r="A15" s="190" t="s">
        <v>82</v>
      </c>
      <c r="B15" s="10" t="s">
        <v>83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</row>
    <row r="16" spans="1:34" s="189" customFormat="1" ht="47.25" hidden="1" outlineLevel="1" x14ac:dyDescent="0.25">
      <c r="A16" s="186" t="s">
        <v>84</v>
      </c>
      <c r="B16" s="9" t="s">
        <v>85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</row>
    <row r="17" spans="1:31" s="189" customFormat="1" ht="47.25" hidden="1" outlineLevel="1" x14ac:dyDescent="0.25">
      <c r="A17" s="186" t="s">
        <v>86</v>
      </c>
      <c r="B17" s="9" t="s">
        <v>87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</row>
    <row r="18" spans="1:31" s="189" customFormat="1" ht="31.5" hidden="1" outlineLevel="1" x14ac:dyDescent="0.25">
      <c r="A18" s="186" t="s">
        <v>88</v>
      </c>
      <c r="B18" s="9" t="s">
        <v>89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</row>
    <row r="19" spans="1:31" s="193" customFormat="1" ht="31.5" hidden="1" outlineLevel="1" x14ac:dyDescent="0.25">
      <c r="A19" s="190" t="s">
        <v>90</v>
      </c>
      <c r="B19" s="10" t="s">
        <v>91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</row>
    <row r="20" spans="1:31" s="189" customFormat="1" ht="47.25" hidden="1" outlineLevel="1" x14ac:dyDescent="0.25">
      <c r="A20" s="186" t="s">
        <v>92</v>
      </c>
      <c r="B20" s="9" t="s">
        <v>93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</row>
    <row r="21" spans="1:31" s="189" customFormat="1" ht="31.5" hidden="1" outlineLevel="1" x14ac:dyDescent="0.25">
      <c r="A21" s="186" t="s">
        <v>94</v>
      </c>
      <c r="B21" s="9" t="s">
        <v>95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</row>
    <row r="22" spans="1:31" s="193" customFormat="1" ht="31.5" hidden="1" outlineLevel="1" x14ac:dyDescent="0.25">
      <c r="A22" s="190" t="s">
        <v>96</v>
      </c>
      <c r="B22" s="10" t="s">
        <v>97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</row>
    <row r="23" spans="1:31" s="189" customFormat="1" ht="31.5" hidden="1" outlineLevel="1" x14ac:dyDescent="0.25">
      <c r="A23" s="186" t="s">
        <v>98</v>
      </c>
      <c r="B23" s="9" t="s">
        <v>99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</row>
    <row r="24" spans="1:31" s="189" customFormat="1" ht="63" hidden="1" outlineLevel="1" x14ac:dyDescent="0.25">
      <c r="A24" s="186" t="s">
        <v>103</v>
      </c>
      <c r="B24" s="9" t="s">
        <v>100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</row>
    <row r="25" spans="1:31" s="189" customFormat="1" ht="63" hidden="1" outlineLevel="1" x14ac:dyDescent="0.25">
      <c r="A25" s="186" t="s">
        <v>105</v>
      </c>
      <c r="B25" s="9" t="s">
        <v>101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</row>
    <row r="26" spans="1:31" s="189" customFormat="1" ht="63" hidden="1" outlineLevel="1" x14ac:dyDescent="0.25">
      <c r="A26" s="186" t="s">
        <v>106</v>
      </c>
      <c r="B26" s="9" t="s">
        <v>102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</row>
    <row r="27" spans="1:31" s="189" customFormat="1" ht="31.5" hidden="1" outlineLevel="1" x14ac:dyDescent="0.25">
      <c r="A27" s="186" t="s">
        <v>107</v>
      </c>
      <c r="B27" s="9" t="s">
        <v>99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</row>
    <row r="28" spans="1:31" s="189" customFormat="1" ht="63" hidden="1" outlineLevel="1" x14ac:dyDescent="0.25">
      <c r="A28" s="186" t="s">
        <v>108</v>
      </c>
      <c r="B28" s="9" t="s">
        <v>100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</row>
    <row r="29" spans="1:31" s="189" customFormat="1" ht="63" hidden="1" outlineLevel="1" x14ac:dyDescent="0.25">
      <c r="A29" s="186" t="s">
        <v>109</v>
      </c>
      <c r="B29" s="9" t="s">
        <v>101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</row>
    <row r="30" spans="1:31" s="189" customFormat="1" ht="63" hidden="1" outlineLevel="1" x14ac:dyDescent="0.25">
      <c r="A30" s="186" t="s">
        <v>110</v>
      </c>
      <c r="B30" s="9" t="s">
        <v>104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</row>
    <row r="31" spans="1:31" s="196" customFormat="1" ht="63" collapsed="1" x14ac:dyDescent="0.25">
      <c r="A31" s="194" t="s">
        <v>39</v>
      </c>
      <c r="B31" s="65" t="s">
        <v>40</v>
      </c>
      <c r="C31" s="195">
        <v>0</v>
      </c>
      <c r="D31" s="195">
        <f>D32</f>
        <v>0</v>
      </c>
      <c r="E31" s="195">
        <f t="shared" ref="E31:Q31" si="30">E32</f>
        <v>0</v>
      </c>
      <c r="F31" s="195">
        <f t="shared" si="30"/>
        <v>0</v>
      </c>
      <c r="G31" s="195">
        <f t="shared" si="30"/>
        <v>0</v>
      </c>
      <c r="H31" s="195">
        <f t="shared" si="30"/>
        <v>0</v>
      </c>
      <c r="I31" s="195">
        <f t="shared" si="30"/>
        <v>0</v>
      </c>
      <c r="J31" s="195">
        <f t="shared" si="30"/>
        <v>0</v>
      </c>
      <c r="K31" s="195">
        <f t="shared" si="30"/>
        <v>0</v>
      </c>
      <c r="L31" s="195">
        <f t="shared" si="30"/>
        <v>0</v>
      </c>
      <c r="M31" s="195">
        <f t="shared" si="30"/>
        <v>0</v>
      </c>
      <c r="N31" s="195">
        <f t="shared" si="30"/>
        <v>0</v>
      </c>
      <c r="O31" s="195">
        <f t="shared" si="30"/>
        <v>0</v>
      </c>
      <c r="P31" s="195">
        <v>0</v>
      </c>
      <c r="Q31" s="195">
        <f t="shared" si="30"/>
        <v>0</v>
      </c>
      <c r="R31" s="195">
        <v>0</v>
      </c>
      <c r="S31" s="195">
        <v>0</v>
      </c>
      <c r="T31" s="195">
        <v>0</v>
      </c>
      <c r="U31" s="195">
        <f t="shared" ref="U31" si="31">U32</f>
        <v>0</v>
      </c>
      <c r="V31" s="195">
        <f t="shared" ref="V31" si="32">V32</f>
        <v>0</v>
      </c>
      <c r="W31" s="195">
        <f t="shared" ref="W31" si="33">W32</f>
        <v>0</v>
      </c>
      <c r="X31" s="195">
        <f t="shared" ref="X31" si="34">X32</f>
        <v>0</v>
      </c>
      <c r="Y31" s="195">
        <f t="shared" ref="Y31" si="35">Y32</f>
        <v>0</v>
      </c>
      <c r="Z31" s="195">
        <f t="shared" ref="Z31" si="36">Z32</f>
        <v>0</v>
      </c>
      <c r="AA31" s="195">
        <f t="shared" ref="AA31" si="37">AA32</f>
        <v>0</v>
      </c>
      <c r="AB31" s="195">
        <f t="shared" ref="AB31" si="38">AB32</f>
        <v>0</v>
      </c>
      <c r="AC31" s="195">
        <v>0</v>
      </c>
      <c r="AD31" s="195">
        <v>0</v>
      </c>
      <c r="AE31" s="195">
        <v>0</v>
      </c>
    </row>
    <row r="32" spans="1:31" s="362" customFormat="1" x14ac:dyDescent="0.25">
      <c r="A32" s="197"/>
      <c r="B32" s="1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74"/>
      <c r="S32" s="370"/>
      <c r="T32" s="370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</row>
    <row r="33" spans="1:31" s="193" customFormat="1" ht="47.25" hidden="1" x14ac:dyDescent="0.25">
      <c r="A33" s="190" t="s">
        <v>111</v>
      </c>
      <c r="B33" s="10" t="s">
        <v>41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</row>
    <row r="34" spans="1:31" s="185" customFormat="1" ht="31.5" x14ac:dyDescent="0.25">
      <c r="A34" s="183" t="s">
        <v>42</v>
      </c>
      <c r="B34" s="64" t="s">
        <v>43</v>
      </c>
      <c r="C34" s="184">
        <v>0</v>
      </c>
      <c r="D34" s="184"/>
      <c r="E34" s="184"/>
      <c r="F34" s="184"/>
      <c r="G34" s="184">
        <f t="shared" ref="G34:K34" si="39">G35+G41+G48</f>
        <v>0</v>
      </c>
      <c r="H34" s="184">
        <f t="shared" si="39"/>
        <v>0</v>
      </c>
      <c r="I34" s="184">
        <f t="shared" si="39"/>
        <v>0</v>
      </c>
      <c r="J34" s="184">
        <f t="shared" si="39"/>
        <v>0</v>
      </c>
      <c r="K34" s="184">
        <f t="shared" si="39"/>
        <v>0</v>
      </c>
      <c r="L34" s="184">
        <v>0</v>
      </c>
      <c r="M34" s="184"/>
      <c r="N34" s="184">
        <f t="shared" ref="N34:R34" si="40">N35+N41+N48</f>
        <v>0</v>
      </c>
      <c r="O34" s="184">
        <f t="shared" si="40"/>
        <v>0</v>
      </c>
      <c r="P34" s="184">
        <f t="shared" si="40"/>
        <v>0</v>
      </c>
      <c r="Q34" s="184">
        <f t="shared" si="40"/>
        <v>0</v>
      </c>
      <c r="R34" s="184">
        <f t="shared" si="40"/>
        <v>0</v>
      </c>
      <c r="S34" s="184">
        <f t="shared" ref="S34" si="41">S35+S41+S48</f>
        <v>0</v>
      </c>
      <c r="T34" s="184">
        <f t="shared" ref="T34" si="42">T35+T41+T48</f>
        <v>0</v>
      </c>
      <c r="U34" s="184">
        <f t="shared" ref="U34" si="43">U35+U41+U48</f>
        <v>0</v>
      </c>
      <c r="V34" s="184">
        <f t="shared" ref="V34" si="44">V35+V41+V48</f>
        <v>0</v>
      </c>
      <c r="W34" s="184">
        <f t="shared" ref="W34" si="45">W35+W41+W48</f>
        <v>0</v>
      </c>
      <c r="X34" s="184">
        <f t="shared" ref="X34" si="46">X35+X41+X48</f>
        <v>0</v>
      </c>
      <c r="Y34" s="184">
        <f t="shared" ref="Y34" si="47">Y35+Y41+Y48</f>
        <v>0</v>
      </c>
      <c r="Z34" s="184">
        <f t="shared" ref="Z34" si="48">Z35+Z41+Z48</f>
        <v>0</v>
      </c>
      <c r="AA34" s="184">
        <f t="shared" ref="AA34" si="49">AA35+AA41+AA48</f>
        <v>0</v>
      </c>
      <c r="AB34" s="184">
        <f t="shared" ref="AB34" si="50">AB35+AB41+AB48</f>
        <v>0</v>
      </c>
      <c r="AC34" s="184"/>
      <c r="AD34" s="184">
        <f t="shared" ref="AD34" si="51">AD35+AD41+AD48</f>
        <v>0</v>
      </c>
      <c r="AE34" s="184" t="e">
        <f t="shared" ref="AE34" si="52">AE35+AE41+AE48</f>
        <v>#VALUE!</v>
      </c>
    </row>
    <row r="35" spans="1:31" s="196" customFormat="1" ht="47.25" x14ac:dyDescent="0.25">
      <c r="A35" s="194" t="s">
        <v>79</v>
      </c>
      <c r="B35" s="65" t="s">
        <v>80</v>
      </c>
      <c r="C35" s="195">
        <v>0</v>
      </c>
      <c r="D35" s="195">
        <v>0</v>
      </c>
      <c r="E35" s="195">
        <f t="shared" ref="E35:R36" si="53">E36</f>
        <v>0</v>
      </c>
      <c r="F35" s="195">
        <f t="shared" si="53"/>
        <v>0</v>
      </c>
      <c r="G35" s="195">
        <f t="shared" si="53"/>
        <v>0</v>
      </c>
      <c r="H35" s="195">
        <f t="shared" si="53"/>
        <v>0</v>
      </c>
      <c r="I35" s="195">
        <f t="shared" si="53"/>
        <v>0</v>
      </c>
      <c r="J35" s="195">
        <f t="shared" si="53"/>
        <v>0</v>
      </c>
      <c r="K35" s="195">
        <f t="shared" si="53"/>
        <v>0</v>
      </c>
      <c r="L35" s="195">
        <f t="shared" si="53"/>
        <v>0</v>
      </c>
      <c r="M35" s="195">
        <f t="shared" si="53"/>
        <v>0</v>
      </c>
      <c r="N35" s="195">
        <f t="shared" si="53"/>
        <v>0</v>
      </c>
      <c r="O35" s="195">
        <f t="shared" si="53"/>
        <v>0</v>
      </c>
      <c r="P35" s="195">
        <f t="shared" si="53"/>
        <v>0</v>
      </c>
      <c r="Q35" s="195">
        <f t="shared" si="53"/>
        <v>0</v>
      </c>
      <c r="R35" s="195">
        <f t="shared" si="53"/>
        <v>0</v>
      </c>
      <c r="S35" s="195">
        <f t="shared" ref="S35" si="54">S36</f>
        <v>0</v>
      </c>
      <c r="T35" s="195">
        <f t="shared" ref="T35" si="55">T36</f>
        <v>0</v>
      </c>
      <c r="U35" s="195">
        <f t="shared" ref="U35" si="56">U36</f>
        <v>0</v>
      </c>
      <c r="V35" s="195">
        <f t="shared" ref="V35" si="57">V36</f>
        <v>0</v>
      </c>
      <c r="W35" s="195">
        <f t="shared" ref="W35" si="58">W36</f>
        <v>0</v>
      </c>
      <c r="X35" s="195">
        <f t="shared" ref="X35" si="59">X36</f>
        <v>0</v>
      </c>
      <c r="Y35" s="195">
        <f t="shared" ref="Y35" si="60">Y36</f>
        <v>0</v>
      </c>
      <c r="Z35" s="195">
        <f t="shared" ref="Z35" si="61">Z36</f>
        <v>0</v>
      </c>
      <c r="AA35" s="195">
        <f t="shared" ref="AA35" si="62">AA36</f>
        <v>0</v>
      </c>
      <c r="AB35" s="195">
        <f t="shared" ref="AB35" si="63">AB36</f>
        <v>0</v>
      </c>
      <c r="AC35" s="195">
        <f t="shared" ref="AC35" si="64">AC36</f>
        <v>0</v>
      </c>
      <c r="AD35" s="195">
        <f t="shared" ref="AD35" si="65">AD36</f>
        <v>0</v>
      </c>
      <c r="AE35" s="195">
        <f t="shared" ref="AE35" si="66">AE36</f>
        <v>0</v>
      </c>
    </row>
    <row r="36" spans="1:31" s="200" customFormat="1" ht="31.5" x14ac:dyDescent="0.25">
      <c r="A36" s="197" t="s">
        <v>44</v>
      </c>
      <c r="B36" s="11" t="s">
        <v>45</v>
      </c>
      <c r="C36" s="198">
        <v>0</v>
      </c>
      <c r="D36" s="198">
        <v>0</v>
      </c>
      <c r="E36" s="198">
        <f t="shared" si="53"/>
        <v>0</v>
      </c>
      <c r="F36" s="198">
        <f t="shared" si="53"/>
        <v>0</v>
      </c>
      <c r="G36" s="198">
        <f t="shared" si="53"/>
        <v>0</v>
      </c>
      <c r="H36" s="198">
        <f t="shared" si="53"/>
        <v>0</v>
      </c>
      <c r="I36" s="198">
        <f t="shared" si="53"/>
        <v>0</v>
      </c>
      <c r="J36" s="198">
        <f t="shared" si="53"/>
        <v>0</v>
      </c>
      <c r="K36" s="198">
        <f t="shared" si="53"/>
        <v>0</v>
      </c>
      <c r="L36" s="198">
        <f t="shared" si="53"/>
        <v>0</v>
      </c>
      <c r="M36" s="198">
        <f t="shared" si="53"/>
        <v>0</v>
      </c>
      <c r="N36" s="198">
        <f t="shared" si="53"/>
        <v>0</v>
      </c>
      <c r="O36" s="198">
        <f t="shared" si="53"/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198">
        <v>0</v>
      </c>
      <c r="X36" s="198">
        <v>0</v>
      </c>
      <c r="Y36" s="198">
        <v>0</v>
      </c>
      <c r="Z36" s="198">
        <v>0</v>
      </c>
      <c r="AA36" s="198">
        <v>0</v>
      </c>
      <c r="AB36" s="198">
        <v>0</v>
      </c>
      <c r="AC36" s="198">
        <v>0</v>
      </c>
      <c r="AD36" s="198">
        <v>0</v>
      </c>
      <c r="AE36" s="198">
        <v>0</v>
      </c>
    </row>
    <row r="37" spans="1:31" s="362" customFormat="1" ht="60" customHeight="1" x14ac:dyDescent="0.25">
      <c r="A37" s="486" t="s">
        <v>46</v>
      </c>
      <c r="B37" s="487" t="s">
        <v>735</v>
      </c>
      <c r="C37" s="488" t="s">
        <v>721</v>
      </c>
      <c r="D37" s="490"/>
      <c r="E37" s="351">
        <v>0</v>
      </c>
      <c r="F37" s="351">
        <v>0</v>
      </c>
      <c r="G37" s="351">
        <v>0</v>
      </c>
      <c r="H37" s="351">
        <v>0</v>
      </c>
      <c r="I37" s="351">
        <v>0</v>
      </c>
      <c r="J37" s="351">
        <v>0</v>
      </c>
      <c r="K37" s="351">
        <v>0</v>
      </c>
      <c r="L37" s="351">
        <v>0</v>
      </c>
      <c r="M37" s="351">
        <v>0</v>
      </c>
      <c r="N37" s="351">
        <v>0</v>
      </c>
      <c r="O37" s="351"/>
      <c r="P37" s="587" t="s">
        <v>1413</v>
      </c>
      <c r="Q37" s="587">
        <v>4.1920000000000002</v>
      </c>
      <c r="R37" s="588">
        <v>44195</v>
      </c>
      <c r="S37" s="589">
        <v>98</v>
      </c>
      <c r="T37" s="589">
        <v>4.3</v>
      </c>
      <c r="U37" s="590">
        <f>4*1600/1000</f>
        <v>6.4</v>
      </c>
      <c r="V37" s="590">
        <f>4*1600/1000</f>
        <v>6.4</v>
      </c>
      <c r="W37" s="590">
        <f t="shared" ref="W37:Z37" si="67">4*1600/1000</f>
        <v>6.4</v>
      </c>
      <c r="X37" s="590">
        <f t="shared" si="67"/>
        <v>6.4</v>
      </c>
      <c r="Y37" s="590">
        <f t="shared" si="67"/>
        <v>6.4</v>
      </c>
      <c r="Z37" s="590">
        <f t="shared" si="67"/>
        <v>6.4</v>
      </c>
      <c r="AA37" s="591">
        <v>6</v>
      </c>
      <c r="AB37" s="591">
        <v>6</v>
      </c>
      <c r="AC37" s="490" t="str">
        <f>Лист1!D8</f>
        <v>повышение качества оказываемых услуг в сфере электроэнергетики</v>
      </c>
      <c r="AD37" s="677" t="s">
        <v>121</v>
      </c>
      <c r="AE37" s="677" t="s">
        <v>464</v>
      </c>
    </row>
    <row r="38" spans="1:31" s="362" customFormat="1" ht="59.25" customHeight="1" x14ac:dyDescent="0.25">
      <c r="A38" s="486" t="s">
        <v>527</v>
      </c>
      <c r="B38" s="489" t="s">
        <v>736</v>
      </c>
      <c r="C38" s="488" t="s">
        <v>722</v>
      </c>
      <c r="D38" s="490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587" t="s">
        <v>1414</v>
      </c>
      <c r="Q38" s="587">
        <v>4.4999999999999998E-2</v>
      </c>
      <c r="R38" s="588">
        <v>44195</v>
      </c>
      <c r="S38" s="589">
        <v>98</v>
      </c>
      <c r="T38" s="592">
        <v>0.02</v>
      </c>
      <c r="U38" s="587">
        <v>6.3E-2</v>
      </c>
      <c r="V38" s="587">
        <v>0.5</v>
      </c>
      <c r="W38" s="587">
        <v>6.3E-2</v>
      </c>
      <c r="X38" s="587">
        <v>0.5</v>
      </c>
      <c r="Y38" s="587">
        <v>6.3E-2</v>
      </c>
      <c r="Z38" s="587">
        <v>0.5</v>
      </c>
      <c r="AA38" s="591">
        <v>6</v>
      </c>
      <c r="AB38" s="591">
        <v>6</v>
      </c>
      <c r="AC38" s="490" t="str">
        <f>Лист1!D8</f>
        <v>повышение качества оказываемых услуг в сфере электроэнергетики</v>
      </c>
      <c r="AD38" s="620"/>
      <c r="AE38" s="620"/>
    </row>
    <row r="39" spans="1:31" s="362" customFormat="1" ht="59.25" customHeight="1" x14ac:dyDescent="0.25">
      <c r="A39" s="486" t="s">
        <v>700</v>
      </c>
      <c r="B39" s="489" t="s">
        <v>737</v>
      </c>
      <c r="C39" s="488" t="s">
        <v>723</v>
      </c>
      <c r="D39" s="424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424"/>
      <c r="Q39" s="424"/>
      <c r="R39" s="437"/>
      <c r="S39" s="435"/>
      <c r="T39" s="435"/>
      <c r="U39" s="424"/>
      <c r="V39" s="424"/>
      <c r="W39" s="424"/>
      <c r="X39" s="424"/>
      <c r="Y39" s="424"/>
      <c r="Z39" s="424"/>
      <c r="AA39" s="436"/>
      <c r="AB39" s="436"/>
      <c r="AC39" s="351" t="str">
        <f>Лист1!D8</f>
        <v>повышение качества оказываемых услуг в сфере электроэнергетики</v>
      </c>
      <c r="AD39" s="424"/>
      <c r="AE39" s="424"/>
    </row>
    <row r="40" spans="1:31" s="200" customFormat="1" ht="31.5" x14ac:dyDescent="0.25">
      <c r="A40" s="197" t="s">
        <v>112</v>
      </c>
      <c r="B40" s="11" t="s">
        <v>113</v>
      </c>
      <c r="C40" s="198"/>
      <c r="D40" s="198"/>
      <c r="E40" s="198"/>
      <c r="F40" s="198"/>
      <c r="G40" s="198"/>
      <c r="H40" s="198"/>
      <c r="I40" s="198"/>
      <c r="J40" s="198"/>
      <c r="K40" s="198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</row>
    <row r="41" spans="1:31" s="196" customFormat="1" ht="31.5" x14ac:dyDescent="0.25">
      <c r="A41" s="194" t="s">
        <v>47</v>
      </c>
      <c r="B41" s="65" t="s">
        <v>48</v>
      </c>
      <c r="C41" s="195">
        <v>0</v>
      </c>
      <c r="D41" s="195">
        <f>D42</f>
        <v>0</v>
      </c>
      <c r="E41" s="195">
        <f t="shared" ref="E41:R41" si="68">E42</f>
        <v>0</v>
      </c>
      <c r="F41" s="195">
        <f t="shared" si="68"/>
        <v>0</v>
      </c>
      <c r="G41" s="195">
        <f t="shared" si="68"/>
        <v>0</v>
      </c>
      <c r="H41" s="195">
        <f t="shared" si="68"/>
        <v>0</v>
      </c>
      <c r="I41" s="195">
        <f t="shared" si="68"/>
        <v>0</v>
      </c>
      <c r="J41" s="195">
        <f t="shared" si="68"/>
        <v>0</v>
      </c>
      <c r="K41" s="195">
        <f t="shared" si="68"/>
        <v>0</v>
      </c>
      <c r="L41" s="195">
        <f t="shared" si="68"/>
        <v>0</v>
      </c>
      <c r="M41" s="195">
        <f t="shared" si="68"/>
        <v>0</v>
      </c>
      <c r="N41" s="195">
        <f t="shared" si="68"/>
        <v>0</v>
      </c>
      <c r="O41" s="195">
        <f t="shared" si="68"/>
        <v>0</v>
      </c>
      <c r="P41" s="195">
        <f t="shared" si="68"/>
        <v>0</v>
      </c>
      <c r="Q41" s="195">
        <f t="shared" si="68"/>
        <v>0</v>
      </c>
      <c r="R41" s="195">
        <f t="shared" si="68"/>
        <v>0</v>
      </c>
      <c r="S41" s="195">
        <f t="shared" ref="S41" si="69">S42</f>
        <v>0</v>
      </c>
      <c r="T41" s="195">
        <f t="shared" ref="T41" si="70">T42</f>
        <v>0</v>
      </c>
      <c r="U41" s="195">
        <f t="shared" ref="U41" si="71">U42</f>
        <v>0</v>
      </c>
      <c r="V41" s="195">
        <f t="shared" ref="V41" si="72">V42</f>
        <v>0</v>
      </c>
      <c r="W41" s="195">
        <f t="shared" ref="W41" si="73">W42</f>
        <v>0</v>
      </c>
      <c r="X41" s="195">
        <f t="shared" ref="X41" si="74">X42</f>
        <v>0</v>
      </c>
      <c r="Y41" s="195">
        <f t="shared" ref="Y41" si="75">Y42</f>
        <v>0</v>
      </c>
      <c r="Z41" s="195">
        <f t="shared" ref="Z41" si="76">Z42</f>
        <v>0</v>
      </c>
      <c r="AA41" s="195">
        <f t="shared" ref="AA41" si="77">AA42</f>
        <v>0</v>
      </c>
      <c r="AB41" s="195">
        <f t="shared" ref="AB41" si="78">AB42</f>
        <v>0</v>
      </c>
      <c r="AC41" s="195">
        <f t="shared" ref="AC41" si="79">AC42</f>
        <v>0</v>
      </c>
      <c r="AD41" s="195">
        <f t="shared" ref="AD41" si="80">AD42</f>
        <v>0</v>
      </c>
      <c r="AE41" s="195" t="str">
        <f t="shared" ref="AE41" si="81">AE42</f>
        <v>+</v>
      </c>
    </row>
    <row r="42" spans="1:31" s="200" customFormat="1" x14ac:dyDescent="0.25">
      <c r="A42" s="197" t="s">
        <v>74</v>
      </c>
      <c r="B42" s="11" t="s">
        <v>75</v>
      </c>
      <c r="C42" s="198">
        <v>0</v>
      </c>
      <c r="D42" s="198">
        <f t="shared" ref="D42:O42" si="82">D46</f>
        <v>0</v>
      </c>
      <c r="E42" s="198">
        <f t="shared" si="82"/>
        <v>0</v>
      </c>
      <c r="F42" s="198">
        <f t="shared" si="82"/>
        <v>0</v>
      </c>
      <c r="G42" s="198">
        <f t="shared" si="82"/>
        <v>0</v>
      </c>
      <c r="H42" s="198">
        <f t="shared" si="82"/>
        <v>0</v>
      </c>
      <c r="I42" s="198">
        <f t="shared" si="82"/>
        <v>0</v>
      </c>
      <c r="J42" s="198">
        <f t="shared" si="82"/>
        <v>0</v>
      </c>
      <c r="K42" s="198">
        <f t="shared" si="82"/>
        <v>0</v>
      </c>
      <c r="L42" s="198">
        <f t="shared" si="82"/>
        <v>0</v>
      </c>
      <c r="M42" s="198">
        <f t="shared" si="82"/>
        <v>0</v>
      </c>
      <c r="N42" s="198">
        <f t="shared" si="82"/>
        <v>0</v>
      </c>
      <c r="O42" s="198">
        <f t="shared" si="82"/>
        <v>0</v>
      </c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>
        <f>AD46</f>
        <v>0</v>
      </c>
      <c r="AE42" s="198" t="str">
        <f>AE46</f>
        <v>+</v>
      </c>
    </row>
    <row r="43" spans="1:31" s="200" customFormat="1" ht="60" customHeight="1" x14ac:dyDescent="0.25">
      <c r="A43" s="14" t="s">
        <v>76</v>
      </c>
      <c r="B43" s="491" t="s">
        <v>738</v>
      </c>
      <c r="C43" s="390" t="s">
        <v>724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397" t="s">
        <v>1415</v>
      </c>
      <c r="Q43" s="397" t="s">
        <v>121</v>
      </c>
      <c r="R43" s="397" t="s">
        <v>121</v>
      </c>
      <c r="S43" s="397" t="s">
        <v>121</v>
      </c>
      <c r="T43" s="397" t="s">
        <v>121</v>
      </c>
      <c r="U43" s="397" t="s">
        <v>121</v>
      </c>
      <c r="V43" s="397">
        <v>0.25</v>
      </c>
      <c r="W43" s="397" t="s">
        <v>121</v>
      </c>
      <c r="X43" s="397">
        <v>0.25</v>
      </c>
      <c r="Y43" s="397" t="s">
        <v>121</v>
      </c>
      <c r="Z43" s="397">
        <v>0.25</v>
      </c>
      <c r="AA43" s="593">
        <v>0.4</v>
      </c>
      <c r="AB43" s="594">
        <v>10</v>
      </c>
      <c r="AC43" s="351" t="str">
        <f>Лист1!D8</f>
        <v>повышение качества оказываемых услуг в сфере электроэнергетики</v>
      </c>
      <c r="AD43" s="198"/>
      <c r="AE43" s="198"/>
    </row>
    <row r="44" spans="1:31" s="362" customFormat="1" ht="72" customHeight="1" x14ac:dyDescent="0.25">
      <c r="A44" s="14" t="s">
        <v>659</v>
      </c>
      <c r="B44" s="491" t="s">
        <v>739</v>
      </c>
      <c r="C44" s="390" t="s">
        <v>725</v>
      </c>
      <c r="D44" s="403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97" t="s">
        <v>1416</v>
      </c>
      <c r="Q44" s="397">
        <v>1.323</v>
      </c>
      <c r="R44" s="588">
        <v>44195</v>
      </c>
      <c r="S44" s="595">
        <v>85</v>
      </c>
      <c r="T44" s="397"/>
      <c r="U44" s="397">
        <f>3*0.63</f>
        <v>1.8900000000000001</v>
      </c>
      <c r="V44" s="397">
        <f t="shared" ref="V44:Z45" si="83">3*0.63</f>
        <v>1.8900000000000001</v>
      </c>
      <c r="W44" s="397">
        <f t="shared" si="83"/>
        <v>1.8900000000000001</v>
      </c>
      <c r="X44" s="397">
        <f t="shared" si="83"/>
        <v>1.8900000000000001</v>
      </c>
      <c r="Y44" s="397">
        <f t="shared" si="83"/>
        <v>1.8900000000000001</v>
      </c>
      <c r="Z44" s="397">
        <f t="shared" si="83"/>
        <v>1.8900000000000001</v>
      </c>
      <c r="AA44" s="594">
        <v>6</v>
      </c>
      <c r="AB44" s="594">
        <v>6</v>
      </c>
      <c r="AC44" s="351" t="str">
        <f>Лист1!D8</f>
        <v>повышение качества оказываемых услуг в сфере электроэнергетики</v>
      </c>
      <c r="AD44" s="351"/>
      <c r="AE44" s="399" t="s">
        <v>464</v>
      </c>
    </row>
    <row r="45" spans="1:31" s="362" customFormat="1" ht="78" customHeight="1" x14ac:dyDescent="0.25">
      <c r="A45" s="14" t="s">
        <v>661</v>
      </c>
      <c r="B45" s="491" t="s">
        <v>740</v>
      </c>
      <c r="C45" s="390" t="s">
        <v>726</v>
      </c>
      <c r="D45" s="403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97" t="s">
        <v>1417</v>
      </c>
      <c r="Q45" s="397">
        <v>1.323</v>
      </c>
      <c r="R45" s="588">
        <v>44195</v>
      </c>
      <c r="S45" s="595">
        <v>85</v>
      </c>
      <c r="T45" s="397"/>
      <c r="U45" s="397">
        <f>3*0.63</f>
        <v>1.8900000000000001</v>
      </c>
      <c r="V45" s="397">
        <f t="shared" si="83"/>
        <v>1.8900000000000001</v>
      </c>
      <c r="W45" s="397">
        <f t="shared" si="83"/>
        <v>1.8900000000000001</v>
      </c>
      <c r="X45" s="397">
        <f t="shared" si="83"/>
        <v>1.8900000000000001</v>
      </c>
      <c r="Y45" s="397">
        <f t="shared" si="83"/>
        <v>1.8900000000000001</v>
      </c>
      <c r="Z45" s="397">
        <f t="shared" si="83"/>
        <v>1.8900000000000001</v>
      </c>
      <c r="AA45" s="594">
        <v>6</v>
      </c>
      <c r="AB45" s="594">
        <v>6</v>
      </c>
      <c r="AC45" s="351" t="str">
        <f>Лист1!D8</f>
        <v>повышение качества оказываемых услуг в сфере электроэнергетики</v>
      </c>
      <c r="AD45" s="351"/>
      <c r="AE45" s="399" t="s">
        <v>464</v>
      </c>
    </row>
    <row r="46" spans="1:31" s="362" customFormat="1" ht="130.5" customHeight="1" x14ac:dyDescent="0.25">
      <c r="A46" s="14" t="s">
        <v>662</v>
      </c>
      <c r="B46" s="491" t="s">
        <v>741</v>
      </c>
      <c r="C46" s="390" t="s">
        <v>727</v>
      </c>
      <c r="D46" s="351">
        <v>0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  <c r="K46" s="351">
        <v>0</v>
      </c>
      <c r="L46" s="351">
        <v>0</v>
      </c>
      <c r="M46" s="351">
        <v>0</v>
      </c>
      <c r="N46" s="351">
        <v>0</v>
      </c>
      <c r="O46" s="351"/>
      <c r="P46" s="397" t="s">
        <v>1418</v>
      </c>
      <c r="Q46" s="397">
        <v>0</v>
      </c>
      <c r="R46" s="397">
        <v>0</v>
      </c>
      <c r="S46" s="596" t="s">
        <v>121</v>
      </c>
      <c r="T46" s="596" t="s">
        <v>121</v>
      </c>
      <c r="U46" s="596" t="s">
        <v>121</v>
      </c>
      <c r="V46" s="596">
        <v>0.16</v>
      </c>
      <c r="W46" s="596" t="s">
        <v>121</v>
      </c>
      <c r="X46" s="596">
        <v>0.16</v>
      </c>
      <c r="Y46" s="596" t="s">
        <v>121</v>
      </c>
      <c r="Z46" s="596">
        <v>0.16</v>
      </c>
      <c r="AA46" s="596" t="s">
        <v>121</v>
      </c>
      <c r="AB46" s="596">
        <v>0.16</v>
      </c>
      <c r="AC46" s="370" t="str">
        <f>Лист1!D8</f>
        <v>повышение качества оказываемых услуг в сфере электроэнергетики</v>
      </c>
      <c r="AD46" s="370"/>
      <c r="AE46" s="404" t="s">
        <v>464</v>
      </c>
    </row>
    <row r="47" spans="1:31" s="200" customFormat="1" ht="31.5" hidden="1" x14ac:dyDescent="0.25">
      <c r="A47" s="197" t="s">
        <v>114</v>
      </c>
      <c r="B47" s="11" t="s">
        <v>115</v>
      </c>
      <c r="C47" s="198"/>
      <c r="D47" s="198"/>
      <c r="E47" s="198"/>
      <c r="F47" s="198"/>
      <c r="G47" s="198"/>
      <c r="H47" s="198"/>
      <c r="I47" s="198"/>
      <c r="J47" s="198"/>
      <c r="K47" s="198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</row>
    <row r="48" spans="1:31" s="196" customFormat="1" ht="31.5" x14ac:dyDescent="0.25">
      <c r="A48" s="194" t="s">
        <v>116</v>
      </c>
      <c r="B48" s="65" t="s">
        <v>117</v>
      </c>
      <c r="C48" s="195">
        <v>0</v>
      </c>
      <c r="D48" s="195">
        <f>D58</f>
        <v>0</v>
      </c>
      <c r="E48" s="195">
        <f t="shared" ref="E48:R48" si="84">E58</f>
        <v>0</v>
      </c>
      <c r="F48" s="195">
        <f t="shared" si="84"/>
        <v>0</v>
      </c>
      <c r="G48" s="195">
        <f t="shared" si="84"/>
        <v>0</v>
      </c>
      <c r="H48" s="195">
        <f t="shared" si="84"/>
        <v>0</v>
      </c>
      <c r="I48" s="195">
        <f t="shared" si="84"/>
        <v>0</v>
      </c>
      <c r="J48" s="195">
        <f t="shared" si="84"/>
        <v>0</v>
      </c>
      <c r="K48" s="195">
        <f t="shared" si="84"/>
        <v>0</v>
      </c>
      <c r="L48" s="195">
        <f t="shared" si="84"/>
        <v>0</v>
      </c>
      <c r="M48" s="195">
        <f t="shared" si="84"/>
        <v>0</v>
      </c>
      <c r="N48" s="195">
        <f t="shared" si="84"/>
        <v>0</v>
      </c>
      <c r="O48" s="195">
        <f t="shared" si="84"/>
        <v>0</v>
      </c>
      <c r="P48" s="195">
        <f t="shared" si="84"/>
        <v>0</v>
      </c>
      <c r="Q48" s="195">
        <f t="shared" si="84"/>
        <v>0</v>
      </c>
      <c r="R48" s="195">
        <f t="shared" si="84"/>
        <v>0</v>
      </c>
      <c r="S48" s="195">
        <f t="shared" ref="S48:AE48" si="85">S58</f>
        <v>0</v>
      </c>
      <c r="T48" s="195">
        <f t="shared" si="85"/>
        <v>0</v>
      </c>
      <c r="U48" s="195">
        <f t="shared" si="85"/>
        <v>0</v>
      </c>
      <c r="V48" s="195">
        <f t="shared" si="85"/>
        <v>0</v>
      </c>
      <c r="W48" s="195">
        <f t="shared" si="85"/>
        <v>0</v>
      </c>
      <c r="X48" s="195">
        <f t="shared" si="85"/>
        <v>0</v>
      </c>
      <c r="Y48" s="195">
        <f t="shared" si="85"/>
        <v>0</v>
      </c>
      <c r="Z48" s="195">
        <f t="shared" si="85"/>
        <v>0</v>
      </c>
      <c r="AA48" s="195">
        <f t="shared" si="85"/>
        <v>0</v>
      </c>
      <c r="AB48" s="195">
        <f t="shared" si="85"/>
        <v>0</v>
      </c>
      <c r="AC48" s="195">
        <f t="shared" si="85"/>
        <v>0</v>
      </c>
      <c r="AD48" s="195">
        <f t="shared" si="85"/>
        <v>0</v>
      </c>
      <c r="AE48" s="195">
        <f t="shared" si="85"/>
        <v>0</v>
      </c>
    </row>
    <row r="49" spans="1:31" s="200" customFormat="1" ht="31.5" outlineLevel="1" x14ac:dyDescent="0.25">
      <c r="A49" s="197" t="s">
        <v>118</v>
      </c>
      <c r="B49" s="11" t="s">
        <v>119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</row>
    <row r="50" spans="1:31" s="200" customFormat="1" ht="94.5" outlineLevel="1" x14ac:dyDescent="0.25">
      <c r="A50" s="14" t="s">
        <v>701</v>
      </c>
      <c r="B50" s="421" t="s">
        <v>706</v>
      </c>
      <c r="C50" s="390" t="s">
        <v>728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50" s="198"/>
      <c r="AE50" s="198"/>
    </row>
    <row r="51" spans="1:31" s="200" customFormat="1" ht="94.5" outlineLevel="1" x14ac:dyDescent="0.25">
      <c r="A51" s="14" t="s">
        <v>702</v>
      </c>
      <c r="B51" s="421" t="s">
        <v>706</v>
      </c>
      <c r="C51" s="390" t="s">
        <v>729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51" s="198"/>
      <c r="AE51" s="198"/>
    </row>
    <row r="52" spans="1:31" s="200" customFormat="1" ht="94.5" outlineLevel="1" x14ac:dyDescent="0.25">
      <c r="A52" s="14" t="s">
        <v>703</v>
      </c>
      <c r="B52" s="421" t="s">
        <v>706</v>
      </c>
      <c r="C52" s="390" t="s">
        <v>730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52" s="198"/>
      <c r="AE52" s="198"/>
    </row>
    <row r="53" spans="1:31" s="200" customFormat="1" ht="94.5" outlineLevel="1" x14ac:dyDescent="0.25">
      <c r="A53" s="14" t="s">
        <v>704</v>
      </c>
      <c r="B53" s="421" t="s">
        <v>706</v>
      </c>
      <c r="C53" s="390" t="s">
        <v>731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53" s="198"/>
      <c r="AE53" s="198"/>
    </row>
    <row r="54" spans="1:31" s="200" customFormat="1" ht="94.5" outlineLevel="1" x14ac:dyDescent="0.25">
      <c r="A54" s="14" t="s">
        <v>705</v>
      </c>
      <c r="B54" s="421" t="s">
        <v>706</v>
      </c>
      <c r="C54" s="390" t="s">
        <v>732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54" s="198"/>
      <c r="AE54" s="198"/>
    </row>
    <row r="55" spans="1:31" s="200" customFormat="1" ht="31.5" outlineLevel="1" x14ac:dyDescent="0.25">
      <c r="A55" s="197" t="s">
        <v>120</v>
      </c>
      <c r="B55" s="11" t="s">
        <v>49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</row>
    <row r="56" spans="1:31" s="200" customFormat="1" ht="31.5" outlineLevel="1" x14ac:dyDescent="0.25">
      <c r="A56" s="197" t="s">
        <v>50</v>
      </c>
      <c r="B56" s="11" t="s">
        <v>51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</row>
    <row r="57" spans="1:31" s="200" customFormat="1" ht="31.5" outlineLevel="1" x14ac:dyDescent="0.25">
      <c r="A57" s="197" t="s">
        <v>52</v>
      </c>
      <c r="B57" s="11" t="s">
        <v>53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</row>
    <row r="58" spans="1:31" s="200" customFormat="1" ht="31.5" x14ac:dyDescent="0.25">
      <c r="A58" s="197" t="s">
        <v>54</v>
      </c>
      <c r="B58" s="11" t="s">
        <v>55</v>
      </c>
      <c r="C58" s="198">
        <v>0</v>
      </c>
      <c r="D58" s="198">
        <f>D59</f>
        <v>0</v>
      </c>
      <c r="E58" s="198">
        <f t="shared" ref="E58:R58" si="86">E59</f>
        <v>0</v>
      </c>
      <c r="F58" s="198">
        <f t="shared" si="86"/>
        <v>0</v>
      </c>
      <c r="G58" s="198">
        <f t="shared" si="86"/>
        <v>0</v>
      </c>
      <c r="H58" s="198">
        <f t="shared" si="86"/>
        <v>0</v>
      </c>
      <c r="I58" s="198">
        <f t="shared" si="86"/>
        <v>0</v>
      </c>
      <c r="J58" s="198">
        <f t="shared" si="86"/>
        <v>0</v>
      </c>
      <c r="K58" s="198">
        <f t="shared" si="86"/>
        <v>0</v>
      </c>
      <c r="L58" s="198">
        <f t="shared" si="86"/>
        <v>0</v>
      </c>
      <c r="M58" s="198">
        <f t="shared" si="86"/>
        <v>0</v>
      </c>
      <c r="N58" s="198">
        <f t="shared" si="86"/>
        <v>0</v>
      </c>
      <c r="O58" s="198">
        <f t="shared" si="86"/>
        <v>0</v>
      </c>
      <c r="P58" s="198">
        <f t="shared" si="86"/>
        <v>0</v>
      </c>
      <c r="Q58" s="198">
        <f t="shared" si="86"/>
        <v>0</v>
      </c>
      <c r="R58" s="198">
        <f t="shared" si="86"/>
        <v>0</v>
      </c>
      <c r="S58" s="198">
        <f t="shared" ref="S58" si="87">S59</f>
        <v>0</v>
      </c>
      <c r="T58" s="198">
        <f t="shared" ref="T58" si="88">T59</f>
        <v>0</v>
      </c>
      <c r="U58" s="198">
        <f t="shared" ref="U58" si="89">U59</f>
        <v>0</v>
      </c>
      <c r="V58" s="198">
        <f t="shared" ref="V58" si="90">V59</f>
        <v>0</v>
      </c>
      <c r="W58" s="198">
        <f t="shared" ref="W58" si="91">W59</f>
        <v>0</v>
      </c>
      <c r="X58" s="198">
        <f t="shared" ref="X58" si="92">X59</f>
        <v>0</v>
      </c>
      <c r="Y58" s="198">
        <f t="shared" ref="Y58" si="93">Y59</f>
        <v>0</v>
      </c>
      <c r="Z58" s="198">
        <f t="shared" ref="Z58" si="94">Z59</f>
        <v>0</v>
      </c>
      <c r="AA58" s="198">
        <f t="shared" ref="AA58" si="95">AA59</f>
        <v>0</v>
      </c>
      <c r="AB58" s="198">
        <f t="shared" ref="AB58" si="96">AB59</f>
        <v>0</v>
      </c>
      <c r="AC58" s="198"/>
      <c r="AD58" s="198">
        <f t="shared" ref="AD58" si="97">AD59</f>
        <v>0</v>
      </c>
      <c r="AE58" s="198">
        <f t="shared" ref="AE58" si="98">AE59</f>
        <v>0</v>
      </c>
    </row>
    <row r="59" spans="1:31" s="362" customFormat="1" ht="14.25" customHeight="1" x14ac:dyDescent="0.25">
      <c r="A59" s="197"/>
      <c r="B59" s="1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</row>
    <row r="60" spans="1:31" s="134" customFormat="1" ht="31.5" hidden="1" outlineLevel="1" x14ac:dyDescent="0.25">
      <c r="A60" s="14" t="s">
        <v>56</v>
      </c>
      <c r="B60" s="11" t="s">
        <v>57</v>
      </c>
      <c r="C60" s="127"/>
      <c r="D60" s="127"/>
      <c r="E60" s="125"/>
      <c r="F60" s="125"/>
      <c r="G60" s="127"/>
      <c r="H60" s="124"/>
      <c r="I60" s="124"/>
      <c r="J60" s="126"/>
      <c r="K60" s="127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</row>
    <row r="61" spans="1:31" ht="31.5" hidden="1" outlineLevel="1" x14ac:dyDescent="0.25">
      <c r="A61" s="14" t="s">
        <v>58</v>
      </c>
      <c r="B61" s="11" t="s">
        <v>59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31.5" hidden="1" outlineLevel="1" x14ac:dyDescent="0.25">
      <c r="A62" s="14" t="s">
        <v>60</v>
      </c>
      <c r="B62" s="11" t="s">
        <v>61</v>
      </c>
      <c r="C62" s="17"/>
      <c r="D62" s="17"/>
      <c r="E62" s="47"/>
      <c r="F62" s="47"/>
      <c r="G62" s="17"/>
      <c r="H62" s="17"/>
      <c r="I62" s="17"/>
      <c r="J62" s="5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25" customFormat="1" ht="31.5" hidden="1" outlineLevel="1" x14ac:dyDescent="0.25">
      <c r="A63" s="22" t="s">
        <v>62</v>
      </c>
      <c r="B63" s="264" t="s">
        <v>63</v>
      </c>
      <c r="C63" s="24"/>
      <c r="D63" s="24"/>
      <c r="E63" s="48"/>
      <c r="F63" s="48"/>
      <c r="G63" s="24"/>
      <c r="H63" s="24"/>
      <c r="I63" s="24"/>
      <c r="J63" s="53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idden="1" outlineLevel="1" x14ac:dyDescent="0.25">
      <c r="A64" s="14" t="s">
        <v>64</v>
      </c>
      <c r="B64" s="11" t="s">
        <v>65</v>
      </c>
      <c r="C64" s="17"/>
      <c r="D64" s="17"/>
      <c r="E64" s="47"/>
      <c r="F64" s="47"/>
      <c r="G64" s="17"/>
      <c r="H64" s="17"/>
      <c r="I64" s="17"/>
      <c r="J64" s="52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31.5" hidden="1" outlineLevel="1" x14ac:dyDescent="0.25">
      <c r="A65" s="14" t="s">
        <v>66</v>
      </c>
      <c r="B65" s="11" t="s">
        <v>67</v>
      </c>
      <c r="C65" s="17"/>
      <c r="D65" s="17"/>
      <c r="E65" s="47"/>
      <c r="F65" s="47"/>
      <c r="G65" s="17"/>
      <c r="H65" s="17"/>
      <c r="I65" s="17"/>
      <c r="J65" s="5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28" customFormat="1" ht="47.25" hidden="1" outlineLevel="1" collapsed="1" x14ac:dyDescent="0.25">
      <c r="A66" s="20" t="s">
        <v>68</v>
      </c>
      <c r="B66" s="265" t="s">
        <v>69</v>
      </c>
      <c r="C66" s="27"/>
      <c r="D66" s="27"/>
      <c r="E66" s="49"/>
      <c r="F66" s="49"/>
      <c r="G66" s="27"/>
      <c r="H66" s="27"/>
      <c r="I66" s="27"/>
      <c r="J66" s="54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s="25" customFormat="1" ht="31.5" hidden="1" outlineLevel="1" x14ac:dyDescent="0.25">
      <c r="A67" s="22" t="s">
        <v>70</v>
      </c>
      <c r="B67" s="264" t="s">
        <v>71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s="25" customFormat="1" ht="31.5" hidden="1" outlineLevel="1" x14ac:dyDescent="0.25">
      <c r="A68" s="22" t="s">
        <v>72</v>
      </c>
      <c r="B68" s="264" t="s">
        <v>73</v>
      </c>
      <c r="C68" s="24"/>
      <c r="D68" s="24"/>
      <c r="E68" s="48"/>
      <c r="F68" s="48"/>
      <c r="G68" s="24"/>
      <c r="H68" s="24"/>
      <c r="I68" s="24"/>
      <c r="J68" s="53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s="310" customFormat="1" collapsed="1" x14ac:dyDescent="0.25">
      <c r="A69" s="20" t="s">
        <v>528</v>
      </c>
      <c r="B69" s="265" t="s">
        <v>529</v>
      </c>
      <c r="C69" s="307"/>
      <c r="D69" s="307"/>
      <c r="E69" s="308"/>
      <c r="F69" s="308"/>
      <c r="G69" s="307"/>
      <c r="H69" s="307"/>
      <c r="I69" s="307"/>
      <c r="J69" s="309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</row>
    <row r="70" spans="1:31" s="345" customFormat="1" ht="31.5" customHeight="1" x14ac:dyDescent="0.25">
      <c r="A70" s="341" t="s">
        <v>530</v>
      </c>
      <c r="B70" s="492" t="s">
        <v>708</v>
      </c>
      <c r="C70" s="390" t="s">
        <v>733</v>
      </c>
      <c r="D70" s="358"/>
      <c r="E70" s="369"/>
      <c r="F70" s="369"/>
      <c r="G70" s="358"/>
      <c r="H70" s="358"/>
      <c r="I70" s="358"/>
      <c r="J70" s="363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73" t="str">
        <f>Лист1!D10</f>
        <v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v>
      </c>
      <c r="AD70" s="358"/>
      <c r="AE70" s="358"/>
    </row>
    <row r="71" spans="1:31" s="345" customFormat="1" ht="31.5" customHeight="1" x14ac:dyDescent="0.25">
      <c r="A71" s="341" t="s">
        <v>707</v>
      </c>
      <c r="B71" s="492" t="s">
        <v>709</v>
      </c>
      <c r="C71" s="390" t="s">
        <v>734</v>
      </c>
      <c r="D71" s="358"/>
      <c r="E71" s="369"/>
      <c r="F71" s="369"/>
      <c r="G71" s="358"/>
      <c r="H71" s="358"/>
      <c r="I71" s="358"/>
      <c r="J71" s="363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73" t="str">
        <f>Лист1!D10</f>
        <v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v>
      </c>
      <c r="AD71" s="358"/>
      <c r="AE71" s="358"/>
    </row>
    <row r="73" spans="1:31" x14ac:dyDescent="0.25">
      <c r="J73"/>
      <c r="K73" s="55"/>
      <c r="N73" s="55"/>
    </row>
    <row r="74" spans="1:31" x14ac:dyDescent="0.25">
      <c r="M74" s="55"/>
    </row>
    <row r="75" spans="1:31" x14ac:dyDescent="0.25">
      <c r="M75" s="55"/>
    </row>
    <row r="76" spans="1:31" ht="18.75" x14ac:dyDescent="0.25">
      <c r="B76" s="278" t="s">
        <v>77</v>
      </c>
      <c r="C76" s="279"/>
      <c r="D76" s="279"/>
      <c r="E76" s="279" t="s">
        <v>668</v>
      </c>
      <c r="M76" s="55"/>
    </row>
    <row r="77" spans="1:31" ht="18.75" x14ac:dyDescent="0.25">
      <c r="B77" s="278"/>
      <c r="C77" s="279"/>
      <c r="D77" s="279"/>
      <c r="E77" s="279"/>
      <c r="M77" s="55"/>
    </row>
    <row r="78" spans="1:31" ht="18.75" x14ac:dyDescent="0.25">
      <c r="B78" s="278"/>
      <c r="C78" s="279"/>
      <c r="D78" s="279"/>
      <c r="E78" s="279"/>
      <c r="M78" s="55"/>
    </row>
    <row r="79" spans="1:31" x14ac:dyDescent="0.25">
      <c r="M79" s="55"/>
    </row>
    <row r="80" spans="1:31" x14ac:dyDescent="0.25">
      <c r="M80" s="55"/>
    </row>
    <row r="82" spans="1:11" s="41" customFormat="1" x14ac:dyDescent="0.25">
      <c r="A82" s="613" t="s">
        <v>207</v>
      </c>
      <c r="B82" s="613"/>
      <c r="C82" s="613"/>
      <c r="D82" s="613"/>
      <c r="E82" s="613"/>
      <c r="F82" s="613"/>
      <c r="G82" s="613"/>
      <c r="H82" s="613"/>
      <c r="I82" s="613"/>
      <c r="J82" s="613"/>
      <c r="K82" s="613"/>
    </row>
    <row r="83" spans="1:11" s="41" customFormat="1" x14ac:dyDescent="0.25">
      <c r="A83" s="614" t="s">
        <v>208</v>
      </c>
      <c r="B83" s="614"/>
      <c r="C83" s="614"/>
      <c r="D83" s="614"/>
      <c r="E83" s="614"/>
      <c r="F83" s="614"/>
      <c r="G83" s="614"/>
      <c r="H83" s="614"/>
      <c r="I83" s="614"/>
      <c r="J83" s="614"/>
      <c r="K83" s="614"/>
    </row>
    <row r="84" spans="1:11" s="41" customFormat="1" x14ac:dyDescent="0.25">
      <c r="A84" s="614" t="s">
        <v>209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</row>
    <row r="85" spans="1:11" s="41" customFormat="1" x14ac:dyDescent="0.25">
      <c r="A85" s="614" t="s">
        <v>210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</row>
  </sheetData>
  <mergeCells count="39">
    <mergeCell ref="W9:X9"/>
    <mergeCell ref="Y9:Z9"/>
    <mergeCell ref="O8:O10"/>
    <mergeCell ref="P8:P10"/>
    <mergeCell ref="Q8:R9"/>
    <mergeCell ref="S8:S10"/>
    <mergeCell ref="T8:T10"/>
    <mergeCell ref="AE37:AE38"/>
    <mergeCell ref="AD37:AD38"/>
    <mergeCell ref="E8:E10"/>
    <mergeCell ref="F8:F10"/>
    <mergeCell ref="G8:G10"/>
    <mergeCell ref="H8:K8"/>
    <mergeCell ref="L8:M9"/>
    <mergeCell ref="H9:H10"/>
    <mergeCell ref="I9:I10"/>
    <mergeCell ref="J9:J10"/>
    <mergeCell ref="K9:K10"/>
    <mergeCell ref="N8:N10"/>
    <mergeCell ref="AA8:AB9"/>
    <mergeCell ref="AC8:AC10"/>
    <mergeCell ref="AD8:AE9"/>
    <mergeCell ref="U9:V9"/>
    <mergeCell ref="A83:K83"/>
    <mergeCell ref="A84:K84"/>
    <mergeCell ref="A85:K85"/>
    <mergeCell ref="A1:N1"/>
    <mergeCell ref="A2:N2"/>
    <mergeCell ref="A3:N3"/>
    <mergeCell ref="A4:N4"/>
    <mergeCell ref="A5:N5"/>
    <mergeCell ref="A6:N6"/>
    <mergeCell ref="A7:AC7"/>
    <mergeCell ref="A82:K82"/>
    <mergeCell ref="A8:A10"/>
    <mergeCell ref="B8:B10"/>
    <mergeCell ref="C8:C10"/>
    <mergeCell ref="D8:D10"/>
    <mergeCell ref="U8:Z8"/>
  </mergeCells>
  <pageMargins left="0.70866141732283472" right="0.11811023622047245" top="0.74803149606299213" bottom="0.74803149606299213" header="0.31496062992125984" footer="0.31496062992125984"/>
  <pageSetup paperSize="8" scale="48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4"/>
  <sheetViews>
    <sheetView topLeftCell="A33" zoomScale="70" zoomScaleNormal="70" workbookViewId="0">
      <selection activeCell="E74" sqref="E74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.42578125" style="50" customWidth="1"/>
    <col min="6" max="6" width="32.42578125" style="50" customWidth="1"/>
    <col min="7" max="8" width="22" customWidth="1"/>
    <col min="9" max="9" width="28.42578125" customWidth="1"/>
    <col min="10" max="10" width="25" style="55" customWidth="1"/>
    <col min="11" max="11" width="22.85546875" customWidth="1"/>
  </cols>
  <sheetData>
    <row r="1" spans="1:11" s="67" customFormat="1" ht="16.5" x14ac:dyDescent="0.25">
      <c r="A1" s="683" t="s">
        <v>465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</row>
    <row r="2" spans="1:11" s="67" customFormat="1" ht="15" x14ac:dyDescent="0.25"/>
    <row r="3" spans="1:11" s="67" customFormat="1" x14ac:dyDescent="0.25">
      <c r="A3" s="669" t="s">
        <v>411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7" customFormat="1" x14ac:dyDescent="0.25">
      <c r="A4" s="684" t="s">
        <v>2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</row>
    <row r="5" spans="1:11" s="67" customFormat="1" ht="15" x14ac:dyDescent="0.25"/>
    <row r="6" spans="1:11" s="67" customFormat="1" x14ac:dyDescent="0.25">
      <c r="A6" s="685" t="s">
        <v>743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</row>
    <row r="7" spans="1:11" s="67" customFormat="1" ht="15" x14ac:dyDescent="0.25">
      <c r="A7" s="112"/>
      <c r="B7" s="222"/>
      <c r="C7" s="222"/>
      <c r="D7" s="222"/>
      <c r="E7" s="222"/>
      <c r="F7" s="222"/>
      <c r="G7" s="222"/>
      <c r="H7" s="222"/>
      <c r="I7" s="222"/>
      <c r="J7" s="93"/>
      <c r="K7" s="93"/>
    </row>
    <row r="8" spans="1:11" s="93" customFormat="1" ht="81.75" customHeight="1" x14ac:dyDescent="0.25">
      <c r="A8" s="686" t="s">
        <v>4</v>
      </c>
      <c r="B8" s="686" t="s">
        <v>5</v>
      </c>
      <c r="C8" s="686" t="s">
        <v>6</v>
      </c>
      <c r="D8" s="686" t="s">
        <v>466</v>
      </c>
      <c r="E8" s="689" t="s">
        <v>467</v>
      </c>
      <c r="F8" s="690" t="s">
        <v>468</v>
      </c>
      <c r="G8" s="692" t="s">
        <v>469</v>
      </c>
      <c r="H8" s="692"/>
      <c r="I8" s="686" t="s">
        <v>470</v>
      </c>
      <c r="J8" s="688" t="s">
        <v>437</v>
      </c>
      <c r="K8" s="688"/>
    </row>
    <row r="9" spans="1:11" s="93" customFormat="1" ht="296.25" customHeight="1" x14ac:dyDescent="0.25">
      <c r="A9" s="687"/>
      <c r="B9" s="687"/>
      <c r="C9" s="687"/>
      <c r="D9" s="687"/>
      <c r="E9" s="689"/>
      <c r="F9" s="691"/>
      <c r="G9" s="239" t="s">
        <v>471</v>
      </c>
      <c r="H9" s="239" t="s">
        <v>472</v>
      </c>
      <c r="I9" s="687"/>
      <c r="J9" s="240" t="s">
        <v>449</v>
      </c>
      <c r="K9" s="240" t="s">
        <v>450</v>
      </c>
    </row>
    <row r="10" spans="1:11" s="93" customFormat="1" ht="15" customHeight="1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</row>
    <row r="11" spans="1:11" s="185" customFormat="1" x14ac:dyDescent="0.25">
      <c r="A11" s="183" t="s">
        <v>33</v>
      </c>
      <c r="B11" s="64" t="s">
        <v>34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</row>
    <row r="12" spans="1:11" s="189" customFormat="1" x14ac:dyDescent="0.25">
      <c r="A12" s="186" t="s">
        <v>81</v>
      </c>
      <c r="B12" s="9" t="s">
        <v>36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</row>
    <row r="13" spans="1:11" s="185" customFormat="1" x14ac:dyDescent="0.25">
      <c r="A13" s="183" t="s">
        <v>37</v>
      </c>
      <c r="B13" s="64" t="s">
        <v>38</v>
      </c>
      <c r="C13" s="184">
        <v>0</v>
      </c>
      <c r="D13" s="184">
        <f>D30</f>
        <v>0</v>
      </c>
      <c r="E13" s="184">
        <f t="shared" ref="E13:K13" si="0">E30</f>
        <v>0</v>
      </c>
      <c r="F13" s="184">
        <f t="shared" si="0"/>
        <v>0</v>
      </c>
      <c r="G13" s="184">
        <f t="shared" si="0"/>
        <v>0</v>
      </c>
      <c r="H13" s="184">
        <f t="shared" si="0"/>
        <v>0</v>
      </c>
      <c r="I13" s="184">
        <f t="shared" si="0"/>
        <v>0</v>
      </c>
      <c r="J13" s="184">
        <f t="shared" si="0"/>
        <v>0</v>
      </c>
      <c r="K13" s="184">
        <f t="shared" si="0"/>
        <v>0</v>
      </c>
    </row>
    <row r="14" spans="1:11" s="193" customFormat="1" ht="31.5" hidden="1" outlineLevel="1" x14ac:dyDescent="0.25">
      <c r="A14" s="190" t="s">
        <v>82</v>
      </c>
      <c r="B14" s="10" t="s">
        <v>83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s="189" customFormat="1" ht="47.25" hidden="1" outlineLevel="1" x14ac:dyDescent="0.25">
      <c r="A15" s="186" t="s">
        <v>84</v>
      </c>
      <c r="B15" s="9" t="s">
        <v>85</v>
      </c>
      <c r="C15" s="187"/>
      <c r="D15" s="187"/>
      <c r="E15" s="187"/>
      <c r="F15" s="187"/>
      <c r="G15" s="187"/>
      <c r="H15" s="187"/>
      <c r="I15" s="187"/>
      <c r="J15" s="187"/>
      <c r="K15" s="187"/>
    </row>
    <row r="16" spans="1:11" s="189" customFormat="1" ht="47.25" hidden="1" outlineLevel="1" x14ac:dyDescent="0.25">
      <c r="A16" s="186" t="s">
        <v>86</v>
      </c>
      <c r="B16" s="9" t="s">
        <v>87</v>
      </c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s="189" customFormat="1" ht="31.5" hidden="1" outlineLevel="1" x14ac:dyDescent="0.25">
      <c r="A17" s="186" t="s">
        <v>88</v>
      </c>
      <c r="B17" s="9" t="s">
        <v>89</v>
      </c>
      <c r="C17" s="187"/>
      <c r="D17" s="187"/>
      <c r="E17" s="187"/>
      <c r="F17" s="187"/>
      <c r="G17" s="187"/>
      <c r="H17" s="187"/>
      <c r="I17" s="187"/>
      <c r="J17" s="187"/>
      <c r="K17" s="187"/>
    </row>
    <row r="18" spans="1:11" s="193" customFormat="1" ht="31.5" hidden="1" outlineLevel="1" x14ac:dyDescent="0.25">
      <c r="A18" s="190" t="s">
        <v>90</v>
      </c>
      <c r="B18" s="10" t="s">
        <v>91</v>
      </c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11" s="189" customFormat="1" ht="47.25" hidden="1" outlineLevel="1" x14ac:dyDescent="0.25">
      <c r="A19" s="186" t="s">
        <v>92</v>
      </c>
      <c r="B19" s="9" t="s">
        <v>93</v>
      </c>
      <c r="C19" s="187"/>
      <c r="D19" s="187"/>
      <c r="E19" s="187"/>
      <c r="F19" s="187"/>
      <c r="G19" s="187"/>
      <c r="H19" s="187"/>
      <c r="I19" s="187"/>
      <c r="J19" s="187"/>
      <c r="K19" s="187"/>
    </row>
    <row r="20" spans="1:11" s="189" customFormat="1" ht="31.5" hidden="1" outlineLevel="1" x14ac:dyDescent="0.25">
      <c r="A20" s="186" t="s">
        <v>94</v>
      </c>
      <c r="B20" s="9" t="s">
        <v>95</v>
      </c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s="193" customFormat="1" ht="31.5" hidden="1" outlineLevel="1" x14ac:dyDescent="0.25">
      <c r="A21" s="190" t="s">
        <v>96</v>
      </c>
      <c r="B21" s="10" t="s">
        <v>97</v>
      </c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s="189" customFormat="1" ht="31.5" hidden="1" outlineLevel="1" x14ac:dyDescent="0.25">
      <c r="A22" s="186" t="s">
        <v>98</v>
      </c>
      <c r="B22" s="9" t="s">
        <v>99</v>
      </c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s="189" customFormat="1" ht="63" hidden="1" outlineLevel="1" x14ac:dyDescent="0.25">
      <c r="A23" s="186" t="s">
        <v>103</v>
      </c>
      <c r="B23" s="9" t="s">
        <v>100</v>
      </c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s="189" customFormat="1" ht="63" hidden="1" outlineLevel="1" x14ac:dyDescent="0.25">
      <c r="A24" s="186" t="s">
        <v>105</v>
      </c>
      <c r="B24" s="9" t="s">
        <v>101</v>
      </c>
      <c r="C24" s="187"/>
      <c r="D24" s="187"/>
      <c r="E24" s="187"/>
      <c r="F24" s="187"/>
      <c r="G24" s="187"/>
      <c r="H24" s="187"/>
      <c r="I24" s="187"/>
      <c r="J24" s="187"/>
      <c r="K24" s="187"/>
    </row>
    <row r="25" spans="1:11" s="189" customFormat="1" ht="63" hidden="1" outlineLevel="1" x14ac:dyDescent="0.25">
      <c r="A25" s="186" t="s">
        <v>106</v>
      </c>
      <c r="B25" s="9" t="s">
        <v>102</v>
      </c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11" s="189" customFormat="1" ht="31.5" hidden="1" outlineLevel="1" x14ac:dyDescent="0.25">
      <c r="A26" s="186" t="s">
        <v>107</v>
      </c>
      <c r="B26" s="9" t="s">
        <v>99</v>
      </c>
      <c r="C26" s="187"/>
      <c r="D26" s="187"/>
      <c r="E26" s="187"/>
      <c r="F26" s="187"/>
      <c r="G26" s="187"/>
      <c r="H26" s="187"/>
      <c r="I26" s="187"/>
      <c r="J26" s="187"/>
      <c r="K26" s="187"/>
    </row>
    <row r="27" spans="1:11" s="189" customFormat="1" ht="63" hidden="1" outlineLevel="1" x14ac:dyDescent="0.25">
      <c r="A27" s="186" t="s">
        <v>108</v>
      </c>
      <c r="B27" s="9" t="s">
        <v>100</v>
      </c>
      <c r="C27" s="187"/>
      <c r="D27" s="187"/>
      <c r="E27" s="187"/>
      <c r="F27" s="187"/>
      <c r="G27" s="187"/>
      <c r="H27" s="187"/>
      <c r="I27" s="187"/>
      <c r="J27" s="187"/>
      <c r="K27" s="187"/>
    </row>
    <row r="28" spans="1:11" s="189" customFormat="1" ht="63" hidden="1" outlineLevel="1" x14ac:dyDescent="0.25">
      <c r="A28" s="186" t="s">
        <v>109</v>
      </c>
      <c r="B28" s="9" t="s">
        <v>101</v>
      </c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1" s="189" customFormat="1" ht="63" hidden="1" outlineLevel="1" x14ac:dyDescent="0.25">
      <c r="A29" s="186" t="s">
        <v>110</v>
      </c>
      <c r="B29" s="9" t="s">
        <v>104</v>
      </c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 s="196" customFormat="1" ht="63" collapsed="1" x14ac:dyDescent="0.25">
      <c r="A30" s="194" t="s">
        <v>39</v>
      </c>
      <c r="B30" s="65" t="s">
        <v>40</v>
      </c>
      <c r="C30" s="195">
        <v>0</v>
      </c>
      <c r="D30" s="195">
        <v>0</v>
      </c>
      <c r="E30" s="195">
        <v>0</v>
      </c>
      <c r="F30" s="195">
        <f t="shared" ref="F30:K30" si="1">F31</f>
        <v>0</v>
      </c>
      <c r="G30" s="195">
        <f t="shared" si="1"/>
        <v>0</v>
      </c>
      <c r="H30" s="195">
        <f t="shared" si="1"/>
        <v>0</v>
      </c>
      <c r="I30" s="195">
        <f t="shared" si="1"/>
        <v>0</v>
      </c>
      <c r="J30" s="195">
        <f t="shared" si="1"/>
        <v>0</v>
      </c>
      <c r="K30" s="195">
        <f t="shared" si="1"/>
        <v>0</v>
      </c>
    </row>
    <row r="31" spans="1:11" s="362" customFormat="1" x14ac:dyDescent="0.25">
      <c r="A31" s="197"/>
      <c r="B31" s="11"/>
      <c r="C31" s="351"/>
      <c r="D31" s="351"/>
      <c r="E31" s="351"/>
      <c r="F31" s="351"/>
      <c r="G31" s="351"/>
      <c r="H31" s="351"/>
      <c r="I31" s="351"/>
      <c r="J31" s="351"/>
      <c r="K31" s="351"/>
    </row>
    <row r="32" spans="1:11" s="193" customFormat="1" ht="47.25" hidden="1" x14ac:dyDescent="0.25">
      <c r="A32" s="190" t="s">
        <v>111</v>
      </c>
      <c r="B32" s="10" t="s">
        <v>41</v>
      </c>
      <c r="C32" s="191"/>
      <c r="D32" s="191"/>
      <c r="E32" s="191"/>
      <c r="F32" s="191"/>
      <c r="G32" s="191"/>
      <c r="H32" s="191"/>
      <c r="I32" s="191"/>
      <c r="J32" s="191"/>
      <c r="K32" s="191"/>
    </row>
    <row r="33" spans="1:11" s="185" customFormat="1" ht="31.5" x14ac:dyDescent="0.25">
      <c r="A33" s="183" t="s">
        <v>42</v>
      </c>
      <c r="B33" s="64" t="s">
        <v>43</v>
      </c>
      <c r="C33" s="184">
        <v>0</v>
      </c>
      <c r="D33" s="184"/>
      <c r="E33" s="184"/>
      <c r="F33" s="184"/>
      <c r="G33" s="184">
        <f t="shared" ref="G33:K33" si="2">G34+G40+G47</f>
        <v>0</v>
      </c>
      <c r="H33" s="184">
        <f t="shared" si="2"/>
        <v>0</v>
      </c>
      <c r="I33" s="184">
        <f t="shared" si="2"/>
        <v>0</v>
      </c>
      <c r="J33" s="184">
        <f t="shared" si="2"/>
        <v>0</v>
      </c>
      <c r="K33" s="184">
        <f t="shared" si="2"/>
        <v>0</v>
      </c>
    </row>
    <row r="34" spans="1:11" s="196" customFormat="1" ht="47.25" x14ac:dyDescent="0.25">
      <c r="A34" s="194" t="s">
        <v>79</v>
      </c>
      <c r="B34" s="65" t="s">
        <v>80</v>
      </c>
      <c r="C34" s="195">
        <v>0</v>
      </c>
      <c r="D34" s="195">
        <v>0</v>
      </c>
      <c r="E34" s="195">
        <f t="shared" ref="E34:K35" si="3">E35</f>
        <v>0</v>
      </c>
      <c r="F34" s="195">
        <f t="shared" si="3"/>
        <v>0</v>
      </c>
      <c r="G34" s="195">
        <f t="shared" si="3"/>
        <v>0</v>
      </c>
      <c r="H34" s="195">
        <f t="shared" si="3"/>
        <v>0</v>
      </c>
      <c r="I34" s="195">
        <f t="shared" si="3"/>
        <v>0</v>
      </c>
      <c r="J34" s="195">
        <f t="shared" si="3"/>
        <v>0</v>
      </c>
      <c r="K34" s="195">
        <f t="shared" si="3"/>
        <v>0</v>
      </c>
    </row>
    <row r="35" spans="1:11" s="200" customFormat="1" ht="31.5" x14ac:dyDescent="0.25">
      <c r="A35" s="197" t="s">
        <v>44</v>
      </c>
      <c r="B35" s="11" t="s">
        <v>45</v>
      </c>
      <c r="C35" s="198">
        <v>0</v>
      </c>
      <c r="D35" s="198">
        <v>0</v>
      </c>
      <c r="E35" s="198"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</row>
    <row r="36" spans="1:11" s="362" customFormat="1" x14ac:dyDescent="0.25">
      <c r="A36" s="14" t="s">
        <v>46</v>
      </c>
      <c r="B36" s="491" t="s">
        <v>735</v>
      </c>
      <c r="C36" s="390" t="s">
        <v>721</v>
      </c>
      <c r="D36" s="375">
        <v>2022</v>
      </c>
      <c r="E36" s="375">
        <v>2022</v>
      </c>
      <c r="F36" s="351">
        <v>0</v>
      </c>
      <c r="G36" s="351">
        <v>0</v>
      </c>
      <c r="H36" s="351">
        <v>0</v>
      </c>
      <c r="I36" s="351">
        <v>0</v>
      </c>
      <c r="J36" s="351">
        <v>0</v>
      </c>
      <c r="K36" s="351">
        <v>0</v>
      </c>
    </row>
    <row r="37" spans="1:11" s="362" customFormat="1" x14ac:dyDescent="0.25">
      <c r="A37" s="14" t="s">
        <v>527</v>
      </c>
      <c r="B37" s="492" t="s">
        <v>736</v>
      </c>
      <c r="C37" s="390" t="s">
        <v>722</v>
      </c>
      <c r="D37" s="375">
        <v>2025</v>
      </c>
      <c r="E37" s="375">
        <v>2025</v>
      </c>
      <c r="F37" s="351"/>
      <c r="G37" s="351"/>
      <c r="H37" s="351"/>
      <c r="I37" s="351"/>
      <c r="J37" s="351"/>
      <c r="K37" s="351"/>
    </row>
    <row r="38" spans="1:11" s="362" customFormat="1" x14ac:dyDescent="0.25">
      <c r="A38" s="14" t="s">
        <v>700</v>
      </c>
      <c r="B38" s="492" t="s">
        <v>737</v>
      </c>
      <c r="C38" s="390" t="s">
        <v>723</v>
      </c>
      <c r="D38" s="375">
        <v>2026</v>
      </c>
      <c r="E38" s="375">
        <v>2026</v>
      </c>
      <c r="F38" s="351"/>
      <c r="G38" s="351"/>
      <c r="H38" s="351"/>
      <c r="I38" s="351"/>
      <c r="J38" s="351"/>
      <c r="K38" s="351"/>
    </row>
    <row r="39" spans="1:11" s="200" customFormat="1" ht="31.5" x14ac:dyDescent="0.25">
      <c r="A39" s="197" t="s">
        <v>112</v>
      </c>
      <c r="B39" s="11" t="s">
        <v>113</v>
      </c>
      <c r="C39" s="198"/>
      <c r="D39" s="198"/>
      <c r="E39" s="198"/>
      <c r="F39" s="198"/>
      <c r="G39" s="198"/>
      <c r="H39" s="198"/>
      <c r="I39" s="198"/>
      <c r="J39" s="198"/>
      <c r="K39" s="198"/>
    </row>
    <row r="40" spans="1:11" s="196" customFormat="1" ht="31.5" x14ac:dyDescent="0.25">
      <c r="A40" s="194" t="s">
        <v>47</v>
      </c>
      <c r="B40" s="65" t="s">
        <v>48</v>
      </c>
      <c r="C40" s="195">
        <v>0</v>
      </c>
      <c r="D40" s="195">
        <f>D41</f>
        <v>0</v>
      </c>
      <c r="E40" s="195">
        <f t="shared" ref="E40:K40" si="4">E41</f>
        <v>0</v>
      </c>
      <c r="F40" s="195">
        <f t="shared" si="4"/>
        <v>0</v>
      </c>
      <c r="G40" s="195">
        <f t="shared" si="4"/>
        <v>0</v>
      </c>
      <c r="H40" s="195">
        <f t="shared" si="4"/>
        <v>0</v>
      </c>
      <c r="I40" s="195">
        <f t="shared" si="4"/>
        <v>0</v>
      </c>
      <c r="J40" s="195">
        <f t="shared" si="4"/>
        <v>0</v>
      </c>
      <c r="K40" s="195">
        <f t="shared" si="4"/>
        <v>0</v>
      </c>
    </row>
    <row r="41" spans="1:11" s="200" customFormat="1" x14ac:dyDescent="0.25">
      <c r="A41" s="197" t="s">
        <v>74</v>
      </c>
      <c r="B41" s="11" t="s">
        <v>75</v>
      </c>
      <c r="C41" s="198">
        <v>0</v>
      </c>
      <c r="D41" s="198">
        <v>0</v>
      </c>
      <c r="E41" s="198">
        <v>0</v>
      </c>
      <c r="F41" s="198">
        <f t="shared" ref="F41:K41" si="5">F45</f>
        <v>0</v>
      </c>
      <c r="G41" s="198">
        <f t="shared" si="5"/>
        <v>0</v>
      </c>
      <c r="H41" s="198">
        <f t="shared" si="5"/>
        <v>0</v>
      </c>
      <c r="I41" s="198">
        <f t="shared" si="5"/>
        <v>0</v>
      </c>
      <c r="J41" s="198">
        <f t="shared" si="5"/>
        <v>0</v>
      </c>
      <c r="K41" s="198">
        <f t="shared" si="5"/>
        <v>0</v>
      </c>
    </row>
    <row r="42" spans="1:11" s="200" customFormat="1" ht="47.25" x14ac:dyDescent="0.25">
      <c r="A42" s="14" t="s">
        <v>76</v>
      </c>
      <c r="B42" s="491" t="s">
        <v>738</v>
      </c>
      <c r="C42" s="390" t="s">
        <v>724</v>
      </c>
      <c r="D42" s="375">
        <v>2023</v>
      </c>
      <c r="E42" s="375">
        <v>2023</v>
      </c>
      <c r="F42" s="198"/>
      <c r="G42" s="198"/>
      <c r="H42" s="198"/>
      <c r="I42" s="198"/>
      <c r="J42" s="198"/>
      <c r="K42" s="198"/>
    </row>
    <row r="43" spans="1:11" s="200" customFormat="1" x14ac:dyDescent="0.25">
      <c r="A43" s="14" t="s">
        <v>659</v>
      </c>
      <c r="B43" s="491" t="s">
        <v>739</v>
      </c>
      <c r="C43" s="390" t="s">
        <v>725</v>
      </c>
      <c r="D43" s="375">
        <v>2024</v>
      </c>
      <c r="E43" s="375">
        <v>2024</v>
      </c>
      <c r="F43" s="198"/>
      <c r="G43" s="198"/>
      <c r="H43" s="198"/>
      <c r="I43" s="198"/>
      <c r="J43" s="198"/>
      <c r="K43" s="198"/>
    </row>
    <row r="44" spans="1:11" s="200" customFormat="1" x14ac:dyDescent="0.25">
      <c r="A44" s="14" t="s">
        <v>661</v>
      </c>
      <c r="B44" s="491" t="s">
        <v>740</v>
      </c>
      <c r="C44" s="390" t="s">
        <v>726</v>
      </c>
      <c r="D44" s="375">
        <v>2024</v>
      </c>
      <c r="E44" s="375">
        <v>2024</v>
      </c>
      <c r="F44" s="198"/>
      <c r="G44" s="198"/>
      <c r="H44" s="198"/>
      <c r="I44" s="198"/>
      <c r="J44" s="198"/>
      <c r="K44" s="198"/>
    </row>
    <row r="45" spans="1:11" s="362" customFormat="1" ht="47.25" x14ac:dyDescent="0.25">
      <c r="A45" s="14" t="s">
        <v>662</v>
      </c>
      <c r="B45" s="491" t="s">
        <v>741</v>
      </c>
      <c r="C45" s="390" t="s">
        <v>727</v>
      </c>
      <c r="D45" s="375">
        <v>2025</v>
      </c>
      <c r="E45" s="375">
        <v>2025</v>
      </c>
      <c r="F45" s="351">
        <v>0</v>
      </c>
      <c r="G45" s="351">
        <v>0</v>
      </c>
      <c r="H45" s="351">
        <v>0</v>
      </c>
      <c r="I45" s="351">
        <v>0</v>
      </c>
      <c r="J45" s="351">
        <v>0</v>
      </c>
      <c r="K45" s="351">
        <v>0</v>
      </c>
    </row>
    <row r="46" spans="1:11" s="200" customFormat="1" ht="31.5" hidden="1" x14ac:dyDescent="0.25">
      <c r="A46" s="197" t="s">
        <v>114</v>
      </c>
      <c r="B46" s="11" t="s">
        <v>115</v>
      </c>
      <c r="C46" s="198"/>
      <c r="D46" s="198"/>
      <c r="E46" s="198"/>
      <c r="F46" s="198"/>
      <c r="G46" s="198"/>
      <c r="H46" s="198"/>
      <c r="I46" s="198"/>
      <c r="J46" s="198"/>
      <c r="K46" s="198"/>
    </row>
    <row r="47" spans="1:11" s="196" customFormat="1" ht="31.5" x14ac:dyDescent="0.25">
      <c r="A47" s="194" t="s">
        <v>116</v>
      </c>
      <c r="B47" s="65" t="s">
        <v>117</v>
      </c>
      <c r="C47" s="195">
        <v>0</v>
      </c>
      <c r="D47" s="195">
        <f>D57</f>
        <v>0</v>
      </c>
      <c r="E47" s="195">
        <f t="shared" ref="E47:K47" si="6">E57</f>
        <v>0</v>
      </c>
      <c r="F47" s="195">
        <f t="shared" si="6"/>
        <v>0</v>
      </c>
      <c r="G47" s="195">
        <f t="shared" si="6"/>
        <v>0</v>
      </c>
      <c r="H47" s="195">
        <f t="shared" si="6"/>
        <v>0</v>
      </c>
      <c r="I47" s="195">
        <f t="shared" si="6"/>
        <v>0</v>
      </c>
      <c r="J47" s="195">
        <f t="shared" si="6"/>
        <v>0</v>
      </c>
      <c r="K47" s="195">
        <f t="shared" si="6"/>
        <v>0</v>
      </c>
    </row>
    <row r="48" spans="1:11" s="200" customFormat="1" ht="31.5" outlineLevel="1" x14ac:dyDescent="0.25">
      <c r="A48" s="197" t="s">
        <v>118</v>
      </c>
      <c r="B48" s="11" t="s">
        <v>119</v>
      </c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1" s="200" customFormat="1" outlineLevel="1" x14ac:dyDescent="0.25">
      <c r="A49" s="14" t="s">
        <v>701</v>
      </c>
      <c r="B49" s="421" t="s">
        <v>706</v>
      </c>
      <c r="C49" s="390" t="s">
        <v>728</v>
      </c>
      <c r="D49" s="375">
        <v>2022</v>
      </c>
      <c r="E49" s="375">
        <v>2022</v>
      </c>
      <c r="F49" s="198"/>
      <c r="G49" s="198"/>
      <c r="H49" s="198"/>
      <c r="I49" s="198"/>
      <c r="J49" s="198"/>
      <c r="K49" s="198"/>
    </row>
    <row r="50" spans="1:11" s="200" customFormat="1" outlineLevel="1" x14ac:dyDescent="0.25">
      <c r="A50" s="14" t="s">
        <v>702</v>
      </c>
      <c r="B50" s="421" t="s">
        <v>706</v>
      </c>
      <c r="C50" s="390" t="s">
        <v>729</v>
      </c>
      <c r="D50" s="375">
        <v>2023</v>
      </c>
      <c r="E50" s="375">
        <v>2023</v>
      </c>
      <c r="F50" s="198"/>
      <c r="G50" s="198"/>
      <c r="H50" s="198"/>
      <c r="I50" s="198"/>
      <c r="J50" s="198"/>
      <c r="K50" s="198"/>
    </row>
    <row r="51" spans="1:11" s="200" customFormat="1" outlineLevel="1" x14ac:dyDescent="0.25">
      <c r="A51" s="14" t="s">
        <v>703</v>
      </c>
      <c r="B51" s="421" t="s">
        <v>706</v>
      </c>
      <c r="C51" s="390" t="s">
        <v>730</v>
      </c>
      <c r="D51" s="375">
        <v>2024</v>
      </c>
      <c r="E51" s="375">
        <v>2024</v>
      </c>
      <c r="F51" s="198"/>
      <c r="G51" s="198"/>
      <c r="H51" s="198"/>
      <c r="I51" s="198"/>
      <c r="J51" s="198"/>
      <c r="K51" s="198"/>
    </row>
    <row r="52" spans="1:11" s="200" customFormat="1" outlineLevel="1" x14ac:dyDescent="0.25">
      <c r="A52" s="14" t="s">
        <v>704</v>
      </c>
      <c r="B52" s="421" t="s">
        <v>706</v>
      </c>
      <c r="C52" s="390" t="s">
        <v>731</v>
      </c>
      <c r="D52" s="375">
        <v>2025</v>
      </c>
      <c r="E52" s="375">
        <v>2025</v>
      </c>
      <c r="F52" s="198"/>
      <c r="G52" s="198"/>
      <c r="H52" s="198"/>
      <c r="I52" s="198"/>
      <c r="J52" s="198"/>
      <c r="K52" s="198"/>
    </row>
    <row r="53" spans="1:11" s="200" customFormat="1" outlineLevel="1" x14ac:dyDescent="0.25">
      <c r="A53" s="14" t="s">
        <v>705</v>
      </c>
      <c r="B53" s="421" t="s">
        <v>706</v>
      </c>
      <c r="C53" s="390" t="s">
        <v>732</v>
      </c>
      <c r="D53" s="375">
        <v>2026</v>
      </c>
      <c r="E53" s="375">
        <v>2026</v>
      </c>
      <c r="F53" s="198"/>
      <c r="G53" s="198"/>
      <c r="H53" s="198"/>
      <c r="I53" s="198"/>
      <c r="J53" s="198"/>
      <c r="K53" s="198"/>
    </row>
    <row r="54" spans="1:11" s="200" customFormat="1" ht="31.5" outlineLevel="1" x14ac:dyDescent="0.25">
      <c r="A54" s="197" t="s">
        <v>120</v>
      </c>
      <c r="B54" s="11" t="s">
        <v>49</v>
      </c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s="200" customFormat="1" outlineLevel="1" x14ac:dyDescent="0.25">
      <c r="A55" s="197" t="s">
        <v>50</v>
      </c>
      <c r="B55" s="11" t="s">
        <v>51</v>
      </c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s="200" customFormat="1" ht="31.5" outlineLevel="1" x14ac:dyDescent="0.25">
      <c r="A56" s="197" t="s">
        <v>52</v>
      </c>
      <c r="B56" s="11" t="s">
        <v>53</v>
      </c>
      <c r="C56" s="198"/>
      <c r="D56" s="198"/>
      <c r="E56" s="198"/>
      <c r="F56" s="198"/>
      <c r="G56" s="198"/>
      <c r="H56" s="198"/>
      <c r="I56" s="198"/>
      <c r="J56" s="198"/>
      <c r="K56" s="198"/>
    </row>
    <row r="57" spans="1:11" s="200" customFormat="1" ht="31.5" x14ac:dyDescent="0.25">
      <c r="A57" s="197" t="s">
        <v>54</v>
      </c>
      <c r="B57" s="11" t="s">
        <v>55</v>
      </c>
      <c r="C57" s="198">
        <v>0</v>
      </c>
      <c r="D57" s="198">
        <v>0</v>
      </c>
      <c r="E57" s="198">
        <v>0</v>
      </c>
      <c r="F57" s="198">
        <f t="shared" ref="F57:K57" si="7">F58</f>
        <v>0</v>
      </c>
      <c r="G57" s="198">
        <f t="shared" si="7"/>
        <v>0</v>
      </c>
      <c r="H57" s="198">
        <f t="shared" si="7"/>
        <v>0</v>
      </c>
      <c r="I57" s="198">
        <f t="shared" si="7"/>
        <v>0</v>
      </c>
      <c r="J57" s="198">
        <f t="shared" si="7"/>
        <v>0</v>
      </c>
      <c r="K57" s="198">
        <f t="shared" si="7"/>
        <v>0</v>
      </c>
    </row>
    <row r="58" spans="1:11" s="362" customFormat="1" x14ac:dyDescent="0.25">
      <c r="A58" s="197"/>
      <c r="B58" s="11"/>
      <c r="C58" s="351"/>
      <c r="D58" s="375"/>
      <c r="E58" s="375"/>
      <c r="F58" s="351"/>
      <c r="G58" s="351"/>
      <c r="H58" s="351"/>
      <c r="I58" s="351"/>
      <c r="J58" s="351"/>
      <c r="K58" s="351"/>
    </row>
    <row r="59" spans="1:11" s="134" customFormat="1" ht="31.5" hidden="1" outlineLevel="1" x14ac:dyDescent="0.25">
      <c r="A59" s="60" t="s">
        <v>56</v>
      </c>
      <c r="B59" s="203" t="s">
        <v>57</v>
      </c>
      <c r="C59" s="204"/>
      <c r="D59" s="204"/>
      <c r="E59" s="205"/>
      <c r="F59" s="205"/>
      <c r="G59" s="204"/>
      <c r="H59" s="206"/>
      <c r="I59" s="206"/>
      <c r="J59" s="207"/>
      <c r="K59" s="204"/>
    </row>
    <row r="60" spans="1:11" ht="31.5" hidden="1" outlineLevel="1" x14ac:dyDescent="0.25">
      <c r="A60" s="60" t="s">
        <v>58</v>
      </c>
      <c r="B60" s="61" t="s">
        <v>59</v>
      </c>
      <c r="C60" s="56"/>
      <c r="D60" s="56"/>
      <c r="E60" s="62"/>
      <c r="F60" s="62"/>
      <c r="G60" s="56"/>
      <c r="H60" s="56"/>
      <c r="I60" s="56"/>
      <c r="J60" s="63"/>
      <c r="K60" s="56"/>
    </row>
    <row r="61" spans="1:11" ht="31.5" hidden="1" outlineLevel="1" x14ac:dyDescent="0.25">
      <c r="A61" s="14" t="s">
        <v>60</v>
      </c>
      <c r="B61" s="16" t="s">
        <v>61</v>
      </c>
      <c r="C61" s="17"/>
      <c r="D61" s="17"/>
      <c r="E61" s="47"/>
      <c r="F61" s="47"/>
      <c r="G61" s="17"/>
      <c r="H61" s="17"/>
      <c r="I61" s="17"/>
      <c r="J61" s="52"/>
      <c r="K61" s="17"/>
    </row>
    <row r="62" spans="1:11" s="25" customFormat="1" ht="31.5" hidden="1" outlineLevel="1" x14ac:dyDescent="0.25">
      <c r="A62" s="22" t="s">
        <v>62</v>
      </c>
      <c r="B62" s="23" t="s">
        <v>63</v>
      </c>
      <c r="C62" s="24"/>
      <c r="D62" s="24"/>
      <c r="E62" s="48"/>
      <c r="F62" s="48"/>
      <c r="G62" s="24"/>
      <c r="H62" s="24"/>
      <c r="I62" s="24"/>
      <c r="J62" s="53"/>
      <c r="K62" s="24"/>
    </row>
    <row r="63" spans="1:11" hidden="1" outlineLevel="1" x14ac:dyDescent="0.25">
      <c r="A63" s="14" t="s">
        <v>64</v>
      </c>
      <c r="B63" s="16" t="s">
        <v>65</v>
      </c>
      <c r="C63" s="17"/>
      <c r="D63" s="17"/>
      <c r="E63" s="47"/>
      <c r="F63" s="47"/>
      <c r="G63" s="17"/>
      <c r="H63" s="17"/>
      <c r="I63" s="17"/>
      <c r="J63" s="52"/>
      <c r="K63" s="17"/>
    </row>
    <row r="64" spans="1:11" ht="31.5" hidden="1" outlineLevel="1" x14ac:dyDescent="0.25">
      <c r="A64" s="14" t="s">
        <v>66</v>
      </c>
      <c r="B64" s="16" t="s">
        <v>67</v>
      </c>
      <c r="C64" s="17"/>
      <c r="D64" s="17"/>
      <c r="E64" s="47"/>
      <c r="F64" s="47"/>
      <c r="G64" s="17"/>
      <c r="H64" s="17"/>
      <c r="I64" s="17"/>
      <c r="J64" s="52"/>
      <c r="K64" s="17"/>
    </row>
    <row r="65" spans="1:14" s="28" customFormat="1" ht="47.25" hidden="1" outlineLevel="1" collapsed="1" x14ac:dyDescent="0.25">
      <c r="A65" s="20" t="s">
        <v>68</v>
      </c>
      <c r="B65" s="32" t="s">
        <v>69</v>
      </c>
      <c r="C65" s="27"/>
      <c r="D65" s="27"/>
      <c r="E65" s="49"/>
      <c r="F65" s="49"/>
      <c r="G65" s="27"/>
      <c r="H65" s="27"/>
      <c r="I65" s="27"/>
      <c r="J65" s="54"/>
      <c r="K65" s="27"/>
    </row>
    <row r="66" spans="1:14" s="25" customFormat="1" ht="31.5" hidden="1" outlineLevel="1" x14ac:dyDescent="0.25">
      <c r="A66" s="22" t="s">
        <v>70</v>
      </c>
      <c r="B66" s="23" t="s">
        <v>71</v>
      </c>
      <c r="C66" s="24"/>
      <c r="D66" s="24"/>
      <c r="E66" s="48"/>
      <c r="F66" s="48"/>
      <c r="G66" s="24"/>
      <c r="H66" s="24"/>
      <c r="I66" s="24"/>
      <c r="J66" s="53"/>
      <c r="K66" s="24"/>
    </row>
    <row r="67" spans="1:14" s="25" customFormat="1" ht="31.5" hidden="1" outlineLevel="1" x14ac:dyDescent="0.25">
      <c r="A67" s="22" t="s">
        <v>72</v>
      </c>
      <c r="B67" s="23" t="s">
        <v>73</v>
      </c>
      <c r="C67" s="24"/>
      <c r="D67" s="24"/>
      <c r="E67" s="48"/>
      <c r="F67" s="48"/>
      <c r="G67" s="24"/>
      <c r="H67" s="24"/>
      <c r="I67" s="24"/>
      <c r="J67" s="53"/>
      <c r="K67" s="24"/>
    </row>
    <row r="68" spans="1:14" s="310" customFormat="1" collapsed="1" x14ac:dyDescent="0.25">
      <c r="A68" s="20" t="s">
        <v>528</v>
      </c>
      <c r="B68" s="265" t="s">
        <v>529</v>
      </c>
      <c r="C68" s="307"/>
      <c r="D68" s="307"/>
      <c r="E68" s="308"/>
      <c r="F68" s="308"/>
      <c r="G68" s="307"/>
      <c r="H68" s="307"/>
      <c r="I68" s="307"/>
      <c r="J68" s="309"/>
      <c r="K68" s="307"/>
    </row>
    <row r="69" spans="1:14" s="345" customFormat="1" x14ac:dyDescent="0.25">
      <c r="A69" s="341" t="s">
        <v>530</v>
      </c>
      <c r="B69" s="492" t="s">
        <v>708</v>
      </c>
      <c r="C69" s="390" t="s">
        <v>733</v>
      </c>
      <c r="D69" s="375">
        <v>2024</v>
      </c>
      <c r="E69" s="375">
        <v>2024</v>
      </c>
      <c r="F69" s="369"/>
      <c r="G69" s="358"/>
      <c r="H69" s="358"/>
      <c r="I69" s="358"/>
      <c r="J69" s="363"/>
      <c r="K69" s="358"/>
    </row>
    <row r="70" spans="1:14" s="345" customFormat="1" x14ac:dyDescent="0.25">
      <c r="A70" s="341" t="s">
        <v>707</v>
      </c>
      <c r="B70" s="492" t="s">
        <v>709</v>
      </c>
      <c r="C70" s="390" t="s">
        <v>734</v>
      </c>
      <c r="D70" s="375">
        <v>2025</v>
      </c>
      <c r="E70" s="375">
        <v>2025</v>
      </c>
      <c r="F70" s="369"/>
      <c r="G70" s="358"/>
      <c r="H70" s="358"/>
      <c r="I70" s="358"/>
      <c r="J70" s="363"/>
      <c r="K70" s="358"/>
    </row>
    <row r="72" spans="1:14" x14ac:dyDescent="0.25">
      <c r="J72"/>
      <c r="K72" s="55"/>
      <c r="N72" s="55"/>
    </row>
    <row r="73" spans="1:14" x14ac:dyDescent="0.25">
      <c r="M73" s="55"/>
    </row>
    <row r="74" spans="1:14" ht="18.75" x14ac:dyDescent="0.25">
      <c r="B74" s="278" t="s">
        <v>77</v>
      </c>
      <c r="C74" s="279"/>
      <c r="D74" s="279"/>
      <c r="E74" s="279" t="s">
        <v>668</v>
      </c>
      <c r="M74" s="55"/>
    </row>
  </sheetData>
  <mergeCells count="13">
    <mergeCell ref="A1:K1"/>
    <mergeCell ref="A3:K3"/>
    <mergeCell ref="A4:K4"/>
    <mergeCell ref="A6:K6"/>
    <mergeCell ref="A8:A9"/>
    <mergeCell ref="I8:I9"/>
    <mergeCell ref="J8:K8"/>
    <mergeCell ref="B8:B9"/>
    <mergeCell ref="C8:C9"/>
    <mergeCell ref="D8:D9"/>
    <mergeCell ref="E8:E9"/>
    <mergeCell ref="F8:F9"/>
    <mergeCell ref="G8:H8"/>
  </mergeCells>
  <pageMargins left="0.70866141732283472" right="0.11811023622047245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2"/>
  <sheetViews>
    <sheetView topLeftCell="A13" zoomScale="57" zoomScaleNormal="57" workbookViewId="0">
      <selection activeCell="B49" sqref="B4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19" ht="18.75" x14ac:dyDescent="0.3">
      <c r="A2" s="605" t="s">
        <v>744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603" t="s">
        <v>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</row>
    <row r="5" spans="1:19" x14ac:dyDescent="0.25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603" t="s">
        <v>743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</row>
    <row r="8" spans="1:19" ht="18.75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600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</row>
    <row r="10" spans="1:19" ht="15.75" customHeight="1" x14ac:dyDescent="0.25">
      <c r="A10" s="601" t="s">
        <v>226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</row>
    <row r="11" spans="1:19" ht="15.75" customHeight="1" x14ac:dyDescent="0.3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</row>
    <row r="12" spans="1:19" ht="31.5" customHeight="1" x14ac:dyDescent="0.25">
      <c r="A12" s="602" t="s">
        <v>4</v>
      </c>
      <c r="B12" s="602" t="s">
        <v>5</v>
      </c>
      <c r="C12" s="602" t="s">
        <v>6</v>
      </c>
      <c r="D12" s="602" t="s">
        <v>7</v>
      </c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</row>
    <row r="13" spans="1:19" ht="87" customHeight="1" x14ac:dyDescent="0.25">
      <c r="A13" s="602"/>
      <c r="B13" s="602"/>
      <c r="C13" s="602"/>
      <c r="D13" s="602" t="s">
        <v>8</v>
      </c>
      <c r="E13" s="602"/>
      <c r="F13" s="602"/>
      <c r="G13" s="602"/>
      <c r="H13" s="602"/>
      <c r="I13" s="602"/>
      <c r="J13" s="602" t="s">
        <v>9</v>
      </c>
      <c r="K13" s="602"/>
      <c r="L13" s="602"/>
      <c r="M13" s="602"/>
      <c r="N13" s="602"/>
      <c r="O13" s="602"/>
      <c r="P13" s="602" t="s">
        <v>10</v>
      </c>
      <c r="Q13" s="602"/>
      <c r="R13" s="602"/>
      <c r="S13" s="602"/>
    </row>
    <row r="14" spans="1:19" ht="179.25" customHeight="1" x14ac:dyDescent="0.25">
      <c r="A14" s="602"/>
      <c r="B14" s="602"/>
      <c r="C14" s="602"/>
      <c r="D14" s="602" t="s">
        <v>11</v>
      </c>
      <c r="E14" s="602"/>
      <c r="F14" s="602" t="s">
        <v>12</v>
      </c>
      <c r="G14" s="602"/>
      <c r="H14" s="602" t="s">
        <v>13</v>
      </c>
      <c r="I14" s="602"/>
      <c r="J14" s="602" t="s">
        <v>14</v>
      </c>
      <c r="K14" s="602"/>
      <c r="L14" s="602" t="s">
        <v>15</v>
      </c>
      <c r="M14" s="602"/>
      <c r="N14" s="602" t="s">
        <v>16</v>
      </c>
      <c r="O14" s="602"/>
      <c r="P14" s="602" t="s">
        <v>17</v>
      </c>
      <c r="Q14" s="602"/>
      <c r="R14" s="602" t="s">
        <v>18</v>
      </c>
      <c r="S14" s="602"/>
    </row>
    <row r="15" spans="1:19" ht="126.75" x14ac:dyDescent="0.25">
      <c r="A15" s="602"/>
      <c r="B15" s="602"/>
      <c r="C15" s="602"/>
      <c r="D15" s="5" t="s">
        <v>526</v>
      </c>
      <c r="E15" s="5" t="s">
        <v>136</v>
      </c>
      <c r="F15" s="5" t="s">
        <v>526</v>
      </c>
      <c r="G15" s="5" t="s">
        <v>136</v>
      </c>
      <c r="H15" s="5" t="s">
        <v>526</v>
      </c>
      <c r="I15" s="5" t="s">
        <v>136</v>
      </c>
      <c r="J15" s="5" t="s">
        <v>526</v>
      </c>
      <c r="K15" s="5" t="s">
        <v>136</v>
      </c>
      <c r="L15" s="5" t="s">
        <v>526</v>
      </c>
      <c r="M15" s="5" t="s">
        <v>136</v>
      </c>
      <c r="N15" s="5" t="s">
        <v>526</v>
      </c>
      <c r="O15" s="5" t="s">
        <v>136</v>
      </c>
      <c r="P15" s="5" t="s">
        <v>526</v>
      </c>
      <c r="Q15" s="5" t="s">
        <v>136</v>
      </c>
      <c r="R15" s="5" t="s">
        <v>526</v>
      </c>
      <c r="S15" s="5" t="s">
        <v>136</v>
      </c>
    </row>
    <row r="16" spans="1:19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8" t="s">
        <v>29</v>
      </c>
      <c r="Q16" s="8" t="s">
        <v>30</v>
      </c>
      <c r="R16" s="8" t="s">
        <v>31</v>
      </c>
      <c r="S16" s="8" t="s">
        <v>32</v>
      </c>
    </row>
    <row r="17" spans="1:19" s="28" customFormat="1" x14ac:dyDescent="0.25">
      <c r="A17" s="20" t="s">
        <v>33</v>
      </c>
      <c r="B17" s="21" t="s">
        <v>34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81">
        <f t="shared" si="0"/>
        <v>0</v>
      </c>
      <c r="L17" s="36">
        <f t="shared" si="0"/>
        <v>0</v>
      </c>
      <c r="M17" s="381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81</v>
      </c>
      <c r="B18" s="19" t="s">
        <v>36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82">
        <f t="shared" si="1"/>
        <v>0</v>
      </c>
      <c r="L18" s="37">
        <f t="shared" si="1"/>
        <v>0</v>
      </c>
      <c r="M18" s="382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37</v>
      </c>
      <c r="B19" s="21" t="s">
        <v>38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81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82</v>
      </c>
      <c r="B20" s="30" t="s">
        <v>83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3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84</v>
      </c>
      <c r="B21" s="19" t="s">
        <v>85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2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86</v>
      </c>
      <c r="B22" s="19" t="s">
        <v>87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2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88</v>
      </c>
      <c r="B23" s="19" t="s">
        <v>89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2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90</v>
      </c>
      <c r="B24" s="30" t="s">
        <v>91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3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92</v>
      </c>
      <c r="B25" s="19" t="s">
        <v>93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2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94</v>
      </c>
      <c r="B26" s="19" t="s">
        <v>95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2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96</v>
      </c>
      <c r="B27" s="30" t="s">
        <v>97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3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98</v>
      </c>
      <c r="B28" s="19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2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103</v>
      </c>
      <c r="B29" s="19" t="s">
        <v>100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2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105</v>
      </c>
      <c r="B30" s="19" t="s">
        <v>101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2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106</v>
      </c>
      <c r="B31" s="19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2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107</v>
      </c>
      <c r="B32" s="19" t="s">
        <v>99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2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108</v>
      </c>
      <c r="B33" s="19" t="s">
        <v>100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2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109</v>
      </c>
      <c r="B34" s="19" t="s">
        <v>101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2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110</v>
      </c>
      <c r="B35" s="19" t="s">
        <v>104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2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39</v>
      </c>
      <c r="B36" s="34" t="s">
        <v>40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80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49" customFormat="1" x14ac:dyDescent="0.25">
      <c r="A37" s="14"/>
      <c r="B37" s="16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84"/>
      <c r="N37" s="348"/>
      <c r="O37" s="348"/>
      <c r="P37" s="348"/>
      <c r="Q37" s="348"/>
      <c r="R37" s="348"/>
      <c r="S37" s="348"/>
    </row>
    <row r="38" spans="1:19" s="31" customFormat="1" ht="47.25" hidden="1" x14ac:dyDescent="0.25">
      <c r="A38" s="29" t="s">
        <v>111</v>
      </c>
      <c r="B38" s="30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3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42</v>
      </c>
      <c r="B39" s="21" t="s">
        <v>43</v>
      </c>
      <c r="C39" s="36">
        <f t="shared" ref="C39:S39" si="4">C40+C45+C50</f>
        <v>0</v>
      </c>
      <c r="D39" s="36">
        <f t="shared" si="4"/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81">
        <f t="shared" si="4"/>
        <v>0</v>
      </c>
      <c r="L39" s="36">
        <f t="shared" si="4"/>
        <v>0</v>
      </c>
      <c r="M39" s="381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79</v>
      </c>
      <c r="B40" s="34" t="s">
        <v>80</v>
      </c>
      <c r="C40" s="39">
        <f>C41</f>
        <v>0</v>
      </c>
      <c r="D40" s="39">
        <f t="shared" ref="D40:S41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80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44</v>
      </c>
      <c r="B41" s="16" t="s">
        <v>45</v>
      </c>
      <c r="C41" s="40">
        <f>C42</f>
        <v>0</v>
      </c>
      <c r="D41" s="40">
        <f>D42+D43</f>
        <v>0</v>
      </c>
      <c r="E41" s="40">
        <f t="shared" ref="E41:H41" si="6">E42+E43</f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5"/>
        <v>0</v>
      </c>
      <c r="J41" s="40">
        <f t="shared" si="5"/>
        <v>0</v>
      </c>
      <c r="K41" s="40">
        <f t="shared" si="5"/>
        <v>0</v>
      </c>
      <c r="L41" s="40">
        <f t="shared" si="5"/>
        <v>0</v>
      </c>
      <c r="M41" s="385">
        <f t="shared" si="5"/>
        <v>0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</row>
    <row r="42" spans="1:19" s="345" customFormat="1" x14ac:dyDescent="0.25">
      <c r="A42" s="14" t="s">
        <v>46</v>
      </c>
      <c r="B42" s="347"/>
      <c r="C42" s="343"/>
      <c r="D42" s="343"/>
      <c r="E42" s="343"/>
      <c r="F42" s="343"/>
      <c r="G42" s="343"/>
      <c r="H42" s="343">
        <v>0</v>
      </c>
      <c r="I42" s="343">
        <v>0</v>
      </c>
      <c r="J42" s="343">
        <v>0</v>
      </c>
      <c r="K42" s="343">
        <v>0</v>
      </c>
      <c r="L42" s="343">
        <v>0</v>
      </c>
      <c r="M42" s="386">
        <v>0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43">
        <v>0</v>
      </c>
    </row>
    <row r="43" spans="1:19" s="345" customFormat="1" x14ac:dyDescent="0.25">
      <c r="A43" s="14" t="s">
        <v>527</v>
      </c>
      <c r="B43" s="347"/>
      <c r="C43" s="343"/>
      <c r="D43" s="343"/>
      <c r="E43" s="343"/>
      <c r="F43" s="343"/>
      <c r="G43" s="343"/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86">
        <v>0</v>
      </c>
      <c r="N43" s="343">
        <v>0</v>
      </c>
      <c r="O43" s="343">
        <v>0</v>
      </c>
      <c r="P43" s="343">
        <v>0</v>
      </c>
      <c r="Q43" s="343">
        <v>0</v>
      </c>
      <c r="R43" s="343">
        <v>0</v>
      </c>
      <c r="S43" s="343">
        <v>0</v>
      </c>
    </row>
    <row r="44" spans="1:19" ht="31.5" x14ac:dyDescent="0.25">
      <c r="A44" s="14" t="s">
        <v>112</v>
      </c>
      <c r="B44" s="16" t="s">
        <v>113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85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47</v>
      </c>
      <c r="B45" s="34" t="s">
        <v>48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87">
        <f t="shared" si="7"/>
        <v>0</v>
      </c>
      <c r="L45" s="39">
        <f t="shared" si="7"/>
        <v>0</v>
      </c>
      <c r="M45" s="380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74</v>
      </c>
      <c r="B46" s="16" t="s">
        <v>75</v>
      </c>
      <c r="C46" s="40">
        <f t="shared" ref="C46:S46" si="8">C48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378">
        <f>K47+K48</f>
        <v>0</v>
      </c>
      <c r="L46" s="377">
        <f t="shared" ref="L46:O46" si="9">L47+L48</f>
        <v>0</v>
      </c>
      <c r="M46" s="385">
        <f t="shared" si="9"/>
        <v>0</v>
      </c>
      <c r="N46" s="377">
        <f t="shared" si="9"/>
        <v>0</v>
      </c>
      <c r="O46" s="379">
        <f t="shared" si="9"/>
        <v>0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45" customFormat="1" ht="25.5" x14ac:dyDescent="0.25">
      <c r="A47" s="388" t="s">
        <v>76</v>
      </c>
      <c r="B47" s="417" t="s">
        <v>738</v>
      </c>
      <c r="C47" s="390" t="s">
        <v>724</v>
      </c>
      <c r="D47" s="438">
        <v>0.25</v>
      </c>
      <c r="E47" s="440"/>
      <c r="F47" s="438"/>
      <c r="G47" s="438"/>
      <c r="H47" s="438">
        <v>1.2989999999999999</v>
      </c>
      <c r="I47" s="438"/>
      <c r="J47" s="438"/>
      <c r="K47" s="441"/>
      <c r="L47" s="438"/>
      <c r="M47" s="442"/>
      <c r="N47" s="438"/>
      <c r="O47" s="438"/>
      <c r="P47" s="438"/>
      <c r="Q47" s="438"/>
      <c r="R47" s="438"/>
      <c r="S47" s="438"/>
    </row>
    <row r="48" spans="1:19" s="345" customFormat="1" x14ac:dyDescent="0.25">
      <c r="A48" s="14"/>
      <c r="B48" s="346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</row>
    <row r="49" spans="1:19" ht="31.5" hidden="1" x14ac:dyDescent="0.25">
      <c r="A49" s="14" t="s">
        <v>114</v>
      </c>
      <c r="B49" s="16" t="s">
        <v>115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116</v>
      </c>
      <c r="B50" s="34" t="s">
        <v>117</v>
      </c>
      <c r="C50" s="39">
        <f>C56+C58</f>
        <v>0</v>
      </c>
      <c r="D50" s="39">
        <f t="shared" ref="D50:S50" si="10">D56+D58</f>
        <v>0</v>
      </c>
      <c r="E50" s="39">
        <f t="shared" si="10"/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0</v>
      </c>
      <c r="K50" s="39">
        <f t="shared" si="10"/>
        <v>0</v>
      </c>
      <c r="L50" s="39">
        <f t="shared" si="10"/>
        <v>0</v>
      </c>
      <c r="M50" s="39">
        <f t="shared" si="10"/>
        <v>0</v>
      </c>
      <c r="N50" s="39">
        <f t="shared" si="10"/>
        <v>0</v>
      </c>
      <c r="O50" s="39">
        <f t="shared" si="10"/>
        <v>0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 t="shared" si="10"/>
        <v>0</v>
      </c>
    </row>
    <row r="51" spans="1:19" ht="31.5" outlineLevel="1" x14ac:dyDescent="0.25">
      <c r="A51" s="14" t="s">
        <v>118</v>
      </c>
      <c r="B51" s="16" t="s">
        <v>119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outlineLevel="1" x14ac:dyDescent="0.25">
      <c r="A52" s="388" t="s">
        <v>702</v>
      </c>
      <c r="B52" s="421" t="s">
        <v>706</v>
      </c>
      <c r="C52" s="390" t="s">
        <v>729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</row>
    <row r="53" spans="1:19" ht="31.5" outlineLevel="1" x14ac:dyDescent="0.25">
      <c r="A53" s="14" t="s">
        <v>120</v>
      </c>
      <c r="B53" s="16" t="s">
        <v>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outlineLevel="1" x14ac:dyDescent="0.25">
      <c r="A54" s="14" t="s">
        <v>50</v>
      </c>
      <c r="B54" s="16" t="s">
        <v>51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outlineLevel="1" x14ac:dyDescent="0.25">
      <c r="A55" s="14" t="s">
        <v>52</v>
      </c>
      <c r="B55" s="16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31.5" x14ac:dyDescent="0.25">
      <c r="A56" s="14" t="s">
        <v>54</v>
      </c>
      <c r="B56" s="16" t="s">
        <v>55</v>
      </c>
      <c r="C56" s="40">
        <f>C57</f>
        <v>0</v>
      </c>
      <c r="D56" s="40">
        <f t="shared" ref="D56:S56" si="11">D57</f>
        <v>0</v>
      </c>
      <c r="E56" s="40">
        <f t="shared" si="11"/>
        <v>0</v>
      </c>
      <c r="F56" s="40">
        <f t="shared" si="11"/>
        <v>0</v>
      </c>
      <c r="G56" s="40">
        <f t="shared" si="11"/>
        <v>0</v>
      </c>
      <c r="H56" s="40">
        <f t="shared" si="11"/>
        <v>0</v>
      </c>
      <c r="I56" s="40">
        <f t="shared" si="11"/>
        <v>0</v>
      </c>
      <c r="J56" s="40">
        <f t="shared" si="11"/>
        <v>0</v>
      </c>
      <c r="K56" s="40">
        <f t="shared" si="11"/>
        <v>0</v>
      </c>
      <c r="L56" s="40">
        <f t="shared" si="11"/>
        <v>0</v>
      </c>
      <c r="M56" s="40">
        <f t="shared" si="11"/>
        <v>0</v>
      </c>
      <c r="N56" s="40">
        <f t="shared" si="11"/>
        <v>0</v>
      </c>
      <c r="O56" s="40">
        <f t="shared" si="11"/>
        <v>0</v>
      </c>
      <c r="P56" s="40">
        <f t="shared" si="11"/>
        <v>0</v>
      </c>
      <c r="Q56" s="40">
        <f t="shared" si="11"/>
        <v>0</v>
      </c>
      <c r="R56" s="40">
        <f t="shared" si="11"/>
        <v>0</v>
      </c>
      <c r="S56" s="40">
        <f t="shared" si="11"/>
        <v>0</v>
      </c>
    </row>
    <row r="57" spans="1:19" s="345" customFormat="1" x14ac:dyDescent="0.25">
      <c r="A57" s="14"/>
      <c r="B57" s="16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</row>
    <row r="58" spans="1:19" ht="31.5" hidden="1" outlineLevel="1" x14ac:dyDescent="0.25">
      <c r="A58" s="14" t="s">
        <v>56</v>
      </c>
      <c r="B58" s="16" t="s">
        <v>57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31.5" hidden="1" outlineLevel="1" x14ac:dyDescent="0.25">
      <c r="A59" s="14" t="s">
        <v>58</v>
      </c>
      <c r="B59" s="16" t="s">
        <v>59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31.5" hidden="1" outlineLevel="1" x14ac:dyDescent="0.25">
      <c r="A60" s="14" t="s">
        <v>60</v>
      </c>
      <c r="B60" s="16" t="s">
        <v>61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25" customFormat="1" ht="31.5" hidden="1" outlineLevel="1" x14ac:dyDescent="0.25">
      <c r="A61" s="22" t="s">
        <v>62</v>
      </c>
      <c r="B61" s="23" t="s">
        <v>63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idden="1" outlineLevel="1" x14ac:dyDescent="0.25">
      <c r="A62" s="14" t="s">
        <v>64</v>
      </c>
      <c r="B62" s="16" t="s">
        <v>65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31.5" hidden="1" outlineLevel="1" x14ac:dyDescent="0.25">
      <c r="A63" s="14" t="s">
        <v>66</v>
      </c>
      <c r="B63" s="16" t="s">
        <v>67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s="28" customFormat="1" ht="47.25" hidden="1" outlineLevel="1" collapsed="1" x14ac:dyDescent="0.25">
      <c r="A64" s="20" t="s">
        <v>68</v>
      </c>
      <c r="B64" s="32" t="s">
        <v>69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25" customFormat="1" ht="31.5" hidden="1" outlineLevel="1" x14ac:dyDescent="0.25">
      <c r="A65" s="22" t="s">
        <v>70</v>
      </c>
      <c r="B65" s="23" t="s">
        <v>71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5" customFormat="1" ht="31.5" hidden="1" outlineLevel="1" x14ac:dyDescent="0.25">
      <c r="A66" s="22" t="s">
        <v>72</v>
      </c>
      <c r="B66" s="23" t="s">
        <v>73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28" customFormat="1" collapsed="1" x14ac:dyDescent="0.25">
      <c r="A67" s="20" t="s">
        <v>528</v>
      </c>
      <c r="B67" s="32" t="s">
        <v>529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s="344" customFormat="1" x14ac:dyDescent="0.25">
      <c r="A68" s="341"/>
      <c r="B68" s="342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</row>
    <row r="72" spans="1:19" s="1" customFormat="1" x14ac:dyDescent="0.2">
      <c r="B72" s="181" t="s">
        <v>77</v>
      </c>
      <c r="C72" s="13"/>
      <c r="D72" s="13"/>
      <c r="E72" s="13" t="s">
        <v>668</v>
      </c>
    </row>
  </sheetData>
  <mergeCells count="23">
    <mergeCell ref="A12:A15"/>
    <mergeCell ref="B12:B15"/>
    <mergeCell ref="C12:C15"/>
    <mergeCell ref="D12:S12"/>
    <mergeCell ref="D13:I13"/>
    <mergeCell ref="J13:O13"/>
    <mergeCell ref="P13:S13"/>
    <mergeCell ref="D14:E14"/>
    <mergeCell ref="F14:G14"/>
    <mergeCell ref="H14:I14"/>
    <mergeCell ref="J14:K14"/>
    <mergeCell ref="L14:M14"/>
    <mergeCell ref="N14:O14"/>
    <mergeCell ref="P14:Q14"/>
    <mergeCell ref="R14:S14"/>
    <mergeCell ref="A11:S11"/>
    <mergeCell ref="A1:S1"/>
    <mergeCell ref="A2:S2"/>
    <mergeCell ref="A4:S4"/>
    <mergeCell ref="A5:S5"/>
    <mergeCell ref="A7:S7"/>
    <mergeCell ref="A9:S9"/>
    <mergeCell ref="A10:S10"/>
  </mergeCells>
  <pageMargins left="0.7" right="0.7" top="0.75" bottom="0.75" header="0.3" footer="0.3"/>
  <pageSetup paperSize="8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84"/>
  <sheetViews>
    <sheetView topLeftCell="A2" zoomScale="70" zoomScaleNormal="70" workbookViewId="0">
      <pane xSplit="3" ySplit="10" topLeftCell="F43" activePane="bottomRight" state="frozen"/>
      <selection activeCell="A2" sqref="A2"/>
      <selection pane="topRight" activeCell="D2" sqref="D2"/>
      <selection pane="bottomLeft" activeCell="A12" sqref="A12"/>
      <selection pane="bottomRight" activeCell="AA50" sqref="AA50:AA54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6.7109375" customWidth="1"/>
    <col min="4" max="4" width="25.28515625" customWidth="1"/>
    <col min="5" max="5" width="17.140625" style="50" customWidth="1"/>
    <col min="6" max="6" width="11.140625" style="50" customWidth="1"/>
    <col min="7" max="7" width="7.42578125" customWidth="1"/>
    <col min="8" max="8" width="7.7109375" bestFit="1" customWidth="1"/>
    <col min="9" max="9" width="19.42578125" bestFit="1" customWidth="1"/>
    <col min="10" max="10" width="8.42578125" style="55" bestFit="1" customWidth="1"/>
    <col min="11" max="11" width="22.85546875" customWidth="1"/>
    <col min="12" max="12" width="12.7109375" customWidth="1"/>
    <col min="13" max="13" width="15.28515625" customWidth="1"/>
    <col min="14" max="14" width="28.7109375" customWidth="1"/>
    <col min="15" max="15" width="17.85546875" customWidth="1"/>
    <col min="16" max="16" width="8.5703125" bestFit="1" customWidth="1"/>
    <col min="17" max="17" width="8.42578125" bestFit="1" customWidth="1"/>
    <col min="18" max="18" width="8.5703125" bestFit="1" customWidth="1"/>
    <col min="19" max="19" width="12.42578125" bestFit="1" customWidth="1"/>
    <col min="20" max="20" width="6.85546875" bestFit="1" customWidth="1"/>
    <col min="21" max="21" width="8.42578125" bestFit="1" customWidth="1"/>
    <col min="22" max="23" width="6.7109375" bestFit="1" customWidth="1"/>
    <col min="24" max="25" width="8.42578125" bestFit="1" customWidth="1"/>
    <col min="26" max="26" width="6.7109375" bestFit="1" customWidth="1"/>
    <col min="27" max="27" width="11.42578125" bestFit="1" customWidth="1"/>
  </cols>
  <sheetData>
    <row r="1" spans="1:39" s="112" customFormat="1" ht="16.5" x14ac:dyDescent="0.25">
      <c r="A1" s="698" t="s">
        <v>473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241"/>
      <c r="W1" s="241"/>
      <c r="X1" s="241"/>
      <c r="Y1" s="241"/>
      <c r="Z1" s="241"/>
      <c r="AA1" s="241"/>
      <c r="AB1" s="222"/>
      <c r="AC1" s="222"/>
    </row>
    <row r="2" spans="1:39" s="112" customFormat="1" ht="15" x14ac:dyDescent="0.25">
      <c r="AB2" s="242"/>
      <c r="AC2" s="222"/>
    </row>
    <row r="3" spans="1:39" s="112" customFormat="1" x14ac:dyDescent="0.25">
      <c r="A3" s="670" t="s">
        <v>195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4"/>
      <c r="W3" s="4"/>
      <c r="X3" s="4"/>
      <c r="Y3" s="4"/>
      <c r="Z3" s="4"/>
      <c r="AA3" s="4"/>
      <c r="AB3" s="242"/>
      <c r="AC3" s="222"/>
    </row>
    <row r="4" spans="1:39" s="112" customFormat="1" x14ac:dyDescent="0.25">
      <c r="A4" s="606" t="s">
        <v>546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160"/>
      <c r="W4" s="160"/>
      <c r="X4" s="160"/>
      <c r="Y4" s="160"/>
      <c r="Z4" s="160"/>
      <c r="AA4" s="160"/>
      <c r="AB4" s="242"/>
      <c r="AC4" s="222"/>
    </row>
    <row r="5" spans="1:39" s="112" customForma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242"/>
      <c r="AC5" s="222"/>
    </row>
    <row r="6" spans="1:39" s="112" customFormat="1" x14ac:dyDescent="0.25">
      <c r="A6" s="601" t="s">
        <v>782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158"/>
      <c r="W6" s="158"/>
      <c r="X6" s="158"/>
      <c r="Y6" s="158"/>
      <c r="Z6" s="158"/>
      <c r="AA6" s="158"/>
      <c r="AB6" s="242"/>
      <c r="AC6" s="222"/>
    </row>
    <row r="7" spans="1:39" s="221" customFormat="1" ht="15" x14ac:dyDescent="0.25">
      <c r="A7" s="699"/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AB7" s="222"/>
      <c r="AC7" s="222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1:39" s="221" customFormat="1" ht="15" x14ac:dyDescent="0.25">
      <c r="A8" s="689" t="s">
        <v>4</v>
      </c>
      <c r="B8" s="689" t="s">
        <v>5</v>
      </c>
      <c r="C8" s="689" t="s">
        <v>403</v>
      </c>
      <c r="D8" s="693" t="s">
        <v>134</v>
      </c>
      <c r="E8" s="693" t="s">
        <v>474</v>
      </c>
      <c r="F8" s="694" t="s">
        <v>475</v>
      </c>
      <c r="G8" s="694"/>
      <c r="H8" s="694"/>
      <c r="I8" s="694"/>
      <c r="J8" s="694"/>
      <c r="K8" s="693" t="s">
        <v>476</v>
      </c>
      <c r="L8" s="693" t="s">
        <v>477</v>
      </c>
      <c r="M8" s="693"/>
      <c r="N8" s="689" t="s">
        <v>478</v>
      </c>
      <c r="O8" s="689" t="s">
        <v>479</v>
      </c>
      <c r="P8" s="692" t="s">
        <v>480</v>
      </c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222"/>
      <c r="AC8" s="222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1:39" s="221" customFormat="1" ht="39" customHeight="1" x14ac:dyDescent="0.25">
      <c r="A9" s="689"/>
      <c r="B9" s="689"/>
      <c r="C9" s="689"/>
      <c r="D9" s="693"/>
      <c r="E9" s="693"/>
      <c r="F9" s="694"/>
      <c r="G9" s="694"/>
      <c r="H9" s="694"/>
      <c r="I9" s="694"/>
      <c r="J9" s="694"/>
      <c r="K9" s="693"/>
      <c r="L9" s="693"/>
      <c r="M9" s="693"/>
      <c r="N9" s="689"/>
      <c r="O9" s="689"/>
      <c r="P9" s="700" t="s">
        <v>660</v>
      </c>
      <c r="Q9" s="700"/>
      <c r="R9" s="700" t="s">
        <v>481</v>
      </c>
      <c r="S9" s="700"/>
      <c r="T9" s="700" t="s">
        <v>482</v>
      </c>
      <c r="U9" s="700"/>
      <c r="V9" s="700" t="s">
        <v>483</v>
      </c>
      <c r="W9" s="700"/>
      <c r="X9" s="700" t="s">
        <v>484</v>
      </c>
      <c r="Y9" s="700"/>
      <c r="Z9" s="700" t="s">
        <v>656</v>
      </c>
      <c r="AA9" s="700"/>
      <c r="AB9" s="222"/>
      <c r="AC9" s="222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s="221" customFormat="1" ht="126" x14ac:dyDescent="0.25">
      <c r="A10" s="689"/>
      <c r="B10" s="689"/>
      <c r="C10" s="689"/>
      <c r="D10" s="693"/>
      <c r="E10" s="693"/>
      <c r="F10" s="494" t="s">
        <v>185</v>
      </c>
      <c r="G10" s="494" t="s">
        <v>186</v>
      </c>
      <c r="H10" s="494" t="s">
        <v>485</v>
      </c>
      <c r="I10" s="495" t="s">
        <v>188</v>
      </c>
      <c r="J10" s="494" t="s">
        <v>190</v>
      </c>
      <c r="K10" s="693"/>
      <c r="L10" s="226" t="s">
        <v>486</v>
      </c>
      <c r="M10" s="226" t="s">
        <v>487</v>
      </c>
      <c r="N10" s="689"/>
      <c r="O10" s="689"/>
      <c r="P10" s="243" t="s">
        <v>488</v>
      </c>
      <c r="Q10" s="243" t="s">
        <v>489</v>
      </c>
      <c r="R10" s="243" t="s">
        <v>488</v>
      </c>
      <c r="S10" s="243" t="s">
        <v>489</v>
      </c>
      <c r="T10" s="243" t="s">
        <v>490</v>
      </c>
      <c r="U10" s="243" t="s">
        <v>491</v>
      </c>
      <c r="V10" s="243" t="s">
        <v>488</v>
      </c>
      <c r="W10" s="243" t="s">
        <v>489</v>
      </c>
      <c r="X10" s="243" t="s">
        <v>488</v>
      </c>
      <c r="Y10" s="243" t="s">
        <v>489</v>
      </c>
      <c r="Z10" s="243" t="s">
        <v>488</v>
      </c>
      <c r="AA10" s="243" t="s">
        <v>489</v>
      </c>
      <c r="AB10" s="222"/>
      <c r="AC10" s="22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1:39" s="221" customFormat="1" ht="15" x14ac:dyDescent="0.2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496">
        <v>6</v>
      </c>
      <c r="G11" s="496">
        <v>7</v>
      </c>
      <c r="H11" s="496">
        <v>8</v>
      </c>
      <c r="I11" s="496">
        <v>9</v>
      </c>
      <c r="J11" s="496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244" t="s">
        <v>492</v>
      </c>
      <c r="Q11" s="244" t="s">
        <v>493</v>
      </c>
      <c r="R11" s="244" t="s">
        <v>494</v>
      </c>
      <c r="S11" s="244" t="s">
        <v>495</v>
      </c>
      <c r="T11" s="244" t="s">
        <v>496</v>
      </c>
      <c r="U11" s="244" t="s">
        <v>497</v>
      </c>
      <c r="V11" s="244" t="s">
        <v>498</v>
      </c>
      <c r="W11" s="244" t="s">
        <v>499</v>
      </c>
      <c r="X11" s="244" t="s">
        <v>500</v>
      </c>
      <c r="Y11" s="244" t="s">
        <v>501</v>
      </c>
      <c r="Z11" s="244" t="s">
        <v>502</v>
      </c>
      <c r="AA11" s="244" t="s">
        <v>503</v>
      </c>
      <c r="AB11" s="222"/>
      <c r="AC11" s="22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:39" s="185" customFormat="1" x14ac:dyDescent="0.25">
      <c r="A12" s="183" t="s">
        <v>33</v>
      </c>
      <c r="B12" s="64" t="s">
        <v>34</v>
      </c>
      <c r="C12" s="184">
        <f>C13</f>
        <v>0</v>
      </c>
      <c r="D12" s="184">
        <f>D13</f>
        <v>79.970077081893706</v>
      </c>
      <c r="E12" s="184">
        <f t="shared" ref="E12:M12" si="0">E13</f>
        <v>0</v>
      </c>
      <c r="F12" s="184">
        <f t="shared" si="0"/>
        <v>33.703590967901228</v>
      </c>
      <c r="G12" s="184">
        <f t="shared" si="0"/>
        <v>0</v>
      </c>
      <c r="H12" s="184">
        <f t="shared" si="0"/>
        <v>0</v>
      </c>
      <c r="I12" s="184" t="e">
        <f t="shared" si="0"/>
        <v>#REF!</v>
      </c>
      <c r="J12" s="184" t="e">
        <f t="shared" si="0"/>
        <v>#REF!</v>
      </c>
      <c r="K12" s="184">
        <f t="shared" si="0"/>
        <v>0</v>
      </c>
      <c r="L12" s="184">
        <f t="shared" si="0"/>
        <v>0</v>
      </c>
      <c r="M12" s="184">
        <f t="shared" si="0"/>
        <v>66.641730901578086</v>
      </c>
      <c r="N12" s="184">
        <f t="shared" ref="N12:AA12" si="1">N13</f>
        <v>0</v>
      </c>
      <c r="O12" s="184">
        <f t="shared" si="1"/>
        <v>0</v>
      </c>
      <c r="P12" s="184">
        <f t="shared" si="1"/>
        <v>4.7169999999999996</v>
      </c>
      <c r="Q12" s="184">
        <f t="shared" si="1"/>
        <v>6.016</v>
      </c>
      <c r="R12" s="184">
        <f t="shared" si="1"/>
        <v>1.5659999999999998</v>
      </c>
      <c r="S12" s="184">
        <f t="shared" si="1"/>
        <v>1.5659999999999998</v>
      </c>
      <c r="T12" s="184">
        <f t="shared" si="1"/>
        <v>0</v>
      </c>
      <c r="U12" s="184">
        <f t="shared" si="1"/>
        <v>0</v>
      </c>
      <c r="V12" s="184">
        <f t="shared" si="1"/>
        <v>0</v>
      </c>
      <c r="W12" s="184">
        <f t="shared" si="1"/>
        <v>0</v>
      </c>
      <c r="X12" s="184">
        <f t="shared" si="1"/>
        <v>6.4</v>
      </c>
      <c r="Y12" s="184">
        <f t="shared" si="1"/>
        <v>6.8100000000000005</v>
      </c>
      <c r="Z12" s="184">
        <f t="shared" si="1"/>
        <v>0</v>
      </c>
      <c r="AA12" s="320">
        <f t="shared" si="1"/>
        <v>1219</v>
      </c>
    </row>
    <row r="13" spans="1:39" s="189" customFormat="1" x14ac:dyDescent="0.25">
      <c r="A13" s="186" t="s">
        <v>81</v>
      </c>
      <c r="B13" s="9" t="s">
        <v>36</v>
      </c>
      <c r="C13" s="187">
        <f>C14+C34</f>
        <v>0</v>
      </c>
      <c r="D13" s="187">
        <f>D34+D68</f>
        <v>79.970077081893706</v>
      </c>
      <c r="E13" s="187">
        <f t="shared" ref="E13:M13" si="2">E34+E68</f>
        <v>0</v>
      </c>
      <c r="F13" s="187">
        <f t="shared" si="2"/>
        <v>33.703590967901228</v>
      </c>
      <c r="G13" s="187">
        <f t="shared" si="2"/>
        <v>0</v>
      </c>
      <c r="H13" s="187">
        <f t="shared" si="2"/>
        <v>0</v>
      </c>
      <c r="I13" s="187" t="e">
        <f t="shared" si="2"/>
        <v>#REF!</v>
      </c>
      <c r="J13" s="187" t="e">
        <f t="shared" si="2"/>
        <v>#REF!</v>
      </c>
      <c r="K13" s="187">
        <f t="shared" si="2"/>
        <v>0</v>
      </c>
      <c r="L13" s="187">
        <f t="shared" si="2"/>
        <v>0</v>
      </c>
      <c r="M13" s="187">
        <f t="shared" si="2"/>
        <v>66.641730901578086</v>
      </c>
      <c r="N13" s="187">
        <f t="shared" ref="N13:Z13" si="3">N14+N34+N68</f>
        <v>0</v>
      </c>
      <c r="O13" s="187">
        <f t="shared" si="3"/>
        <v>0</v>
      </c>
      <c r="P13" s="187">
        <f t="shared" si="3"/>
        <v>4.7169999999999996</v>
      </c>
      <c r="Q13" s="187">
        <f t="shared" si="3"/>
        <v>6.016</v>
      </c>
      <c r="R13" s="187">
        <f t="shared" si="3"/>
        <v>1.5659999999999998</v>
      </c>
      <c r="S13" s="187">
        <f t="shared" si="3"/>
        <v>1.5659999999999998</v>
      </c>
      <c r="T13" s="187">
        <f t="shared" si="3"/>
        <v>0</v>
      </c>
      <c r="U13" s="187">
        <f t="shared" si="3"/>
        <v>0</v>
      </c>
      <c r="V13" s="187">
        <f t="shared" si="3"/>
        <v>0</v>
      </c>
      <c r="W13" s="187">
        <f t="shared" si="3"/>
        <v>0</v>
      </c>
      <c r="X13" s="187">
        <f t="shared" si="3"/>
        <v>6.4</v>
      </c>
      <c r="Y13" s="187">
        <f t="shared" si="3"/>
        <v>6.8100000000000005</v>
      </c>
      <c r="Z13" s="187">
        <f t="shared" si="3"/>
        <v>0</v>
      </c>
      <c r="AA13" s="321">
        <f t="shared" ref="AA13" si="4">AA14+AA34</f>
        <v>1219</v>
      </c>
    </row>
    <row r="14" spans="1:39" s="185" customFormat="1" x14ac:dyDescent="0.25">
      <c r="A14" s="183" t="s">
        <v>37</v>
      </c>
      <c r="B14" s="64" t="s">
        <v>38</v>
      </c>
      <c r="C14" s="184">
        <f>C31</f>
        <v>0</v>
      </c>
      <c r="D14" s="184">
        <f>D31</f>
        <v>0</v>
      </c>
      <c r="E14" s="184">
        <f>E31</f>
        <v>0</v>
      </c>
      <c r="F14" s="191">
        <f>F31</f>
        <v>0</v>
      </c>
      <c r="G14" s="191">
        <f t="shared" ref="G14:AA14" si="5">G31</f>
        <v>0</v>
      </c>
      <c r="H14" s="191">
        <f t="shared" si="5"/>
        <v>0</v>
      </c>
      <c r="I14" s="191">
        <f t="shared" si="5"/>
        <v>0</v>
      </c>
      <c r="J14" s="191">
        <f t="shared" si="5"/>
        <v>0</v>
      </c>
      <c r="K14" s="184">
        <f t="shared" si="5"/>
        <v>0</v>
      </c>
      <c r="L14" s="184">
        <f t="shared" si="5"/>
        <v>0</v>
      </c>
      <c r="M14" s="184">
        <f t="shared" si="5"/>
        <v>0</v>
      </c>
      <c r="N14" s="184">
        <f t="shared" si="5"/>
        <v>0</v>
      </c>
      <c r="O14" s="184">
        <f t="shared" si="5"/>
        <v>0</v>
      </c>
      <c r="P14" s="184">
        <f t="shared" si="5"/>
        <v>0</v>
      </c>
      <c r="Q14" s="184">
        <f t="shared" si="5"/>
        <v>0</v>
      </c>
      <c r="R14" s="184">
        <f t="shared" si="5"/>
        <v>0</v>
      </c>
      <c r="S14" s="184">
        <f t="shared" si="5"/>
        <v>0</v>
      </c>
      <c r="T14" s="184">
        <f t="shared" si="5"/>
        <v>0</v>
      </c>
      <c r="U14" s="184">
        <f t="shared" si="5"/>
        <v>0</v>
      </c>
      <c r="V14" s="184">
        <f t="shared" si="5"/>
        <v>0</v>
      </c>
      <c r="W14" s="184">
        <f t="shared" si="5"/>
        <v>0</v>
      </c>
      <c r="X14" s="184">
        <f t="shared" si="5"/>
        <v>0</v>
      </c>
      <c r="Y14" s="184">
        <f t="shared" si="5"/>
        <v>0</v>
      </c>
      <c r="Z14" s="184">
        <f t="shared" si="5"/>
        <v>0</v>
      </c>
      <c r="AA14" s="320">
        <f t="shared" si="5"/>
        <v>0</v>
      </c>
    </row>
    <row r="15" spans="1:39" s="193" customFormat="1" ht="31.5" hidden="1" outlineLevel="1" x14ac:dyDescent="0.25">
      <c r="A15" s="190" t="s">
        <v>82</v>
      </c>
      <c r="B15" s="10" t="s">
        <v>83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210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463"/>
    </row>
    <row r="16" spans="1:39" s="189" customFormat="1" ht="47.25" hidden="1" outlineLevel="1" x14ac:dyDescent="0.25">
      <c r="A16" s="186" t="s">
        <v>84</v>
      </c>
      <c r="B16" s="9" t="s">
        <v>85</v>
      </c>
      <c r="C16" s="187"/>
      <c r="D16" s="187"/>
      <c r="E16" s="187"/>
      <c r="F16" s="191"/>
      <c r="G16" s="191"/>
      <c r="H16" s="191"/>
      <c r="I16" s="191"/>
      <c r="J16" s="191"/>
      <c r="K16" s="187"/>
      <c r="L16" s="187"/>
      <c r="M16" s="213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321"/>
    </row>
    <row r="17" spans="1:27" s="189" customFormat="1" ht="47.25" hidden="1" outlineLevel="1" x14ac:dyDescent="0.25">
      <c r="A17" s="186" t="s">
        <v>86</v>
      </c>
      <c r="B17" s="9" t="s">
        <v>87</v>
      </c>
      <c r="C17" s="187"/>
      <c r="D17" s="187"/>
      <c r="E17" s="187"/>
      <c r="F17" s="191"/>
      <c r="G17" s="191"/>
      <c r="H17" s="191"/>
      <c r="I17" s="191"/>
      <c r="J17" s="191"/>
      <c r="K17" s="187"/>
      <c r="L17" s="187"/>
      <c r="M17" s="213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321"/>
    </row>
    <row r="18" spans="1:27" s="189" customFormat="1" ht="31.5" hidden="1" outlineLevel="1" x14ac:dyDescent="0.25">
      <c r="A18" s="186" t="s">
        <v>88</v>
      </c>
      <c r="B18" s="9" t="s">
        <v>89</v>
      </c>
      <c r="C18" s="187"/>
      <c r="D18" s="187"/>
      <c r="E18" s="187"/>
      <c r="F18" s="191"/>
      <c r="G18" s="191"/>
      <c r="H18" s="191"/>
      <c r="I18" s="191"/>
      <c r="J18" s="191"/>
      <c r="K18" s="187"/>
      <c r="L18" s="187"/>
      <c r="M18" s="213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321"/>
    </row>
    <row r="19" spans="1:27" s="193" customFormat="1" ht="31.5" hidden="1" outlineLevel="1" x14ac:dyDescent="0.25">
      <c r="A19" s="190" t="s">
        <v>90</v>
      </c>
      <c r="B19" s="10" t="s">
        <v>91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210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463"/>
    </row>
    <row r="20" spans="1:27" s="189" customFormat="1" ht="47.25" hidden="1" outlineLevel="1" x14ac:dyDescent="0.25">
      <c r="A20" s="186" t="s">
        <v>92</v>
      </c>
      <c r="B20" s="9" t="s">
        <v>93</v>
      </c>
      <c r="C20" s="187"/>
      <c r="D20" s="187"/>
      <c r="E20" s="187"/>
      <c r="F20" s="191"/>
      <c r="G20" s="191"/>
      <c r="H20" s="191"/>
      <c r="I20" s="191"/>
      <c r="J20" s="191"/>
      <c r="K20" s="187"/>
      <c r="L20" s="187"/>
      <c r="M20" s="213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321"/>
    </row>
    <row r="21" spans="1:27" s="189" customFormat="1" ht="31.5" hidden="1" outlineLevel="1" x14ac:dyDescent="0.25">
      <c r="A21" s="186" t="s">
        <v>94</v>
      </c>
      <c r="B21" s="9" t="s">
        <v>95</v>
      </c>
      <c r="C21" s="187"/>
      <c r="D21" s="187"/>
      <c r="E21" s="187"/>
      <c r="F21" s="191"/>
      <c r="G21" s="191"/>
      <c r="H21" s="191"/>
      <c r="I21" s="191"/>
      <c r="J21" s="191"/>
      <c r="K21" s="187"/>
      <c r="L21" s="187"/>
      <c r="M21" s="213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321"/>
    </row>
    <row r="22" spans="1:27" s="193" customFormat="1" ht="31.5" hidden="1" outlineLevel="1" x14ac:dyDescent="0.25">
      <c r="A22" s="190" t="s">
        <v>96</v>
      </c>
      <c r="B22" s="10" t="s">
        <v>97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210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463"/>
    </row>
    <row r="23" spans="1:27" s="189" customFormat="1" ht="31.5" hidden="1" outlineLevel="1" x14ac:dyDescent="0.25">
      <c r="A23" s="186" t="s">
        <v>98</v>
      </c>
      <c r="B23" s="9" t="s">
        <v>99</v>
      </c>
      <c r="C23" s="187"/>
      <c r="D23" s="187"/>
      <c r="E23" s="187"/>
      <c r="F23" s="191"/>
      <c r="G23" s="191"/>
      <c r="H23" s="191"/>
      <c r="I23" s="191"/>
      <c r="J23" s="191"/>
      <c r="K23" s="187"/>
      <c r="L23" s="187"/>
      <c r="M23" s="213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321"/>
    </row>
    <row r="24" spans="1:27" s="189" customFormat="1" ht="63" hidden="1" outlineLevel="1" x14ac:dyDescent="0.25">
      <c r="A24" s="186" t="s">
        <v>103</v>
      </c>
      <c r="B24" s="9" t="s">
        <v>100</v>
      </c>
      <c r="C24" s="187"/>
      <c r="D24" s="187"/>
      <c r="E24" s="187"/>
      <c r="F24" s="191"/>
      <c r="G24" s="191"/>
      <c r="H24" s="191"/>
      <c r="I24" s="191"/>
      <c r="J24" s="191"/>
      <c r="K24" s="187"/>
      <c r="L24" s="187"/>
      <c r="M24" s="213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321"/>
    </row>
    <row r="25" spans="1:27" s="189" customFormat="1" ht="63" hidden="1" outlineLevel="1" x14ac:dyDescent="0.25">
      <c r="A25" s="186" t="s">
        <v>105</v>
      </c>
      <c r="B25" s="9" t="s">
        <v>101</v>
      </c>
      <c r="C25" s="187"/>
      <c r="D25" s="187"/>
      <c r="E25" s="187"/>
      <c r="F25" s="191"/>
      <c r="G25" s="191"/>
      <c r="H25" s="191"/>
      <c r="I25" s="191"/>
      <c r="J25" s="191"/>
      <c r="K25" s="187"/>
      <c r="L25" s="187"/>
      <c r="M25" s="213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321"/>
    </row>
    <row r="26" spans="1:27" s="189" customFormat="1" ht="63" hidden="1" outlineLevel="1" x14ac:dyDescent="0.25">
      <c r="A26" s="186" t="s">
        <v>106</v>
      </c>
      <c r="B26" s="9" t="s">
        <v>102</v>
      </c>
      <c r="C26" s="187"/>
      <c r="D26" s="187"/>
      <c r="E26" s="187"/>
      <c r="F26" s="191"/>
      <c r="G26" s="191"/>
      <c r="H26" s="191"/>
      <c r="I26" s="191"/>
      <c r="J26" s="191"/>
      <c r="K26" s="187"/>
      <c r="L26" s="187"/>
      <c r="M26" s="213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321"/>
    </row>
    <row r="27" spans="1:27" s="189" customFormat="1" ht="31.5" hidden="1" outlineLevel="1" x14ac:dyDescent="0.25">
      <c r="A27" s="186" t="s">
        <v>107</v>
      </c>
      <c r="B27" s="9" t="s">
        <v>99</v>
      </c>
      <c r="C27" s="187"/>
      <c r="D27" s="187"/>
      <c r="E27" s="187"/>
      <c r="F27" s="191"/>
      <c r="G27" s="191"/>
      <c r="H27" s="191"/>
      <c r="I27" s="191"/>
      <c r="J27" s="191"/>
      <c r="K27" s="187"/>
      <c r="L27" s="187"/>
      <c r="M27" s="213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321"/>
    </row>
    <row r="28" spans="1:27" s="189" customFormat="1" ht="63" hidden="1" outlineLevel="1" x14ac:dyDescent="0.25">
      <c r="A28" s="186" t="s">
        <v>108</v>
      </c>
      <c r="B28" s="9" t="s">
        <v>100</v>
      </c>
      <c r="C28" s="187"/>
      <c r="D28" s="187"/>
      <c r="E28" s="187"/>
      <c r="F28" s="191"/>
      <c r="G28" s="191"/>
      <c r="H28" s="191"/>
      <c r="I28" s="191"/>
      <c r="J28" s="191"/>
      <c r="K28" s="187"/>
      <c r="L28" s="187"/>
      <c r="M28" s="213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321"/>
    </row>
    <row r="29" spans="1:27" s="189" customFormat="1" ht="63" hidden="1" outlineLevel="1" x14ac:dyDescent="0.25">
      <c r="A29" s="186" t="s">
        <v>109</v>
      </c>
      <c r="B29" s="9" t="s">
        <v>101</v>
      </c>
      <c r="C29" s="187"/>
      <c r="D29" s="187"/>
      <c r="E29" s="187"/>
      <c r="F29" s="191"/>
      <c r="G29" s="191"/>
      <c r="H29" s="191"/>
      <c r="I29" s="191"/>
      <c r="J29" s="191"/>
      <c r="K29" s="187"/>
      <c r="L29" s="187"/>
      <c r="M29" s="213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321"/>
    </row>
    <row r="30" spans="1:27" s="189" customFormat="1" ht="63" hidden="1" outlineLevel="1" x14ac:dyDescent="0.25">
      <c r="A30" s="186" t="s">
        <v>110</v>
      </c>
      <c r="B30" s="9" t="s">
        <v>104</v>
      </c>
      <c r="C30" s="187"/>
      <c r="D30" s="187"/>
      <c r="E30" s="187"/>
      <c r="F30" s="191"/>
      <c r="G30" s="191"/>
      <c r="H30" s="191"/>
      <c r="I30" s="191"/>
      <c r="J30" s="191"/>
      <c r="K30" s="187"/>
      <c r="L30" s="187"/>
      <c r="M30" s="213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321"/>
    </row>
    <row r="31" spans="1:27" s="196" customFormat="1" ht="63" collapsed="1" x14ac:dyDescent="0.25">
      <c r="A31" s="194" t="s">
        <v>39</v>
      </c>
      <c r="B31" s="65" t="s">
        <v>40</v>
      </c>
      <c r="C31" s="195">
        <v>0</v>
      </c>
      <c r="D31" s="195">
        <f>D32</f>
        <v>0</v>
      </c>
      <c r="E31" s="195">
        <v>0</v>
      </c>
      <c r="F31" s="191">
        <f>F32</f>
        <v>0</v>
      </c>
      <c r="G31" s="191">
        <v>0</v>
      </c>
      <c r="H31" s="191">
        <v>0</v>
      </c>
      <c r="I31" s="191">
        <f>I32</f>
        <v>0</v>
      </c>
      <c r="J31" s="191">
        <f>J32</f>
        <v>0</v>
      </c>
      <c r="K31" s="195">
        <f>K32</f>
        <v>0</v>
      </c>
      <c r="L31" s="195">
        <v>0</v>
      </c>
      <c r="M31" s="195">
        <f>M32</f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f>U32</f>
        <v>0</v>
      </c>
      <c r="V31" s="195">
        <v>0</v>
      </c>
      <c r="W31" s="195">
        <v>0</v>
      </c>
      <c r="X31" s="195">
        <v>0</v>
      </c>
      <c r="Y31" s="195">
        <v>0</v>
      </c>
      <c r="Z31" s="195">
        <v>0</v>
      </c>
      <c r="AA31" s="318">
        <v>0</v>
      </c>
    </row>
    <row r="32" spans="1:27" s="362" customFormat="1" x14ac:dyDescent="0.25">
      <c r="A32" s="197"/>
      <c r="B32" s="11"/>
      <c r="C32" s="351"/>
      <c r="D32" s="351"/>
      <c r="E32" s="375"/>
      <c r="F32" s="485"/>
      <c r="G32" s="485"/>
      <c r="H32" s="485"/>
      <c r="I32" s="485"/>
      <c r="J32" s="485"/>
      <c r="K32" s="361"/>
      <c r="L32" s="370"/>
      <c r="M32" s="351"/>
      <c r="N32" s="370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68"/>
    </row>
    <row r="33" spans="1:27" s="193" customFormat="1" ht="47.25" hidden="1" x14ac:dyDescent="0.25">
      <c r="A33" s="190" t="s">
        <v>111</v>
      </c>
      <c r="B33" s="10" t="s">
        <v>41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463"/>
    </row>
    <row r="34" spans="1:27" s="185" customFormat="1" ht="31.5" x14ac:dyDescent="0.25">
      <c r="A34" s="183" t="s">
        <v>42</v>
      </c>
      <c r="B34" s="64" t="s">
        <v>43</v>
      </c>
      <c r="C34" s="184">
        <f>C35</f>
        <v>0</v>
      </c>
      <c r="D34" s="184">
        <f>D35+D41+D48</f>
        <v>66.255358912048791</v>
      </c>
      <c r="E34" s="184">
        <f t="shared" ref="E34:M34" si="6">E35+E41+E48</f>
        <v>0</v>
      </c>
      <c r="F34" s="184">
        <f t="shared" si="6"/>
        <v>19.988872798056306</v>
      </c>
      <c r="G34" s="184">
        <f t="shared" si="6"/>
        <v>0</v>
      </c>
      <c r="H34" s="184">
        <f t="shared" si="6"/>
        <v>0</v>
      </c>
      <c r="I34" s="184" t="e">
        <f t="shared" si="6"/>
        <v>#REF!</v>
      </c>
      <c r="J34" s="184" t="e">
        <f t="shared" si="6"/>
        <v>#REF!</v>
      </c>
      <c r="K34" s="184">
        <f t="shared" si="6"/>
        <v>0</v>
      </c>
      <c r="L34" s="184">
        <f t="shared" si="6"/>
        <v>0</v>
      </c>
      <c r="M34" s="184">
        <f t="shared" si="6"/>
        <v>55.212799093373988</v>
      </c>
      <c r="N34" s="184">
        <f t="shared" ref="N34:AA34" si="7">N35+N41+N48</f>
        <v>0</v>
      </c>
      <c r="O34" s="184">
        <f t="shared" si="7"/>
        <v>0</v>
      </c>
      <c r="P34" s="184">
        <f t="shared" si="7"/>
        <v>4.7169999999999996</v>
      </c>
      <c r="Q34" s="184">
        <f t="shared" si="7"/>
        <v>6.016</v>
      </c>
      <c r="R34" s="184">
        <f t="shared" si="7"/>
        <v>1.5659999999999998</v>
      </c>
      <c r="S34" s="184">
        <f t="shared" si="7"/>
        <v>1.5659999999999998</v>
      </c>
      <c r="T34" s="184">
        <f t="shared" si="7"/>
        <v>0</v>
      </c>
      <c r="U34" s="184">
        <f>U35+U41+U48</f>
        <v>0</v>
      </c>
      <c r="V34" s="184">
        <f t="shared" si="7"/>
        <v>0</v>
      </c>
      <c r="W34" s="184">
        <f t="shared" si="7"/>
        <v>0</v>
      </c>
      <c r="X34" s="184">
        <f t="shared" si="7"/>
        <v>6.4</v>
      </c>
      <c r="Y34" s="184">
        <f t="shared" si="7"/>
        <v>6.8100000000000005</v>
      </c>
      <c r="Z34" s="184">
        <f t="shared" si="7"/>
        <v>0</v>
      </c>
      <c r="AA34" s="320">
        <f t="shared" si="7"/>
        <v>1219</v>
      </c>
    </row>
    <row r="35" spans="1:27" s="196" customFormat="1" ht="47.25" x14ac:dyDescent="0.25">
      <c r="A35" s="194" t="s">
        <v>79</v>
      </c>
      <c r="B35" s="65" t="s">
        <v>80</v>
      </c>
      <c r="C35" s="195">
        <v>0</v>
      </c>
      <c r="D35" s="195">
        <f>D36</f>
        <v>20.600288557232069</v>
      </c>
      <c r="E35" s="195">
        <f t="shared" ref="E35:M35" si="8">E36</f>
        <v>0</v>
      </c>
      <c r="F35" s="195">
        <f t="shared" si="8"/>
        <v>7.4322937056972407</v>
      </c>
      <c r="G35" s="195">
        <f t="shared" si="8"/>
        <v>0</v>
      </c>
      <c r="H35" s="195">
        <f t="shared" si="8"/>
        <v>0</v>
      </c>
      <c r="I35" s="195" t="e">
        <f t="shared" si="8"/>
        <v>#REF!</v>
      </c>
      <c r="J35" s="195" t="e">
        <f t="shared" si="8"/>
        <v>#REF!</v>
      </c>
      <c r="K35" s="195">
        <f t="shared" si="8"/>
        <v>0</v>
      </c>
      <c r="L35" s="195">
        <f t="shared" si="8"/>
        <v>0</v>
      </c>
      <c r="M35" s="195">
        <f t="shared" si="8"/>
        <v>17.166907131026726</v>
      </c>
      <c r="N35" s="195">
        <f t="shared" ref="N35:AA36" si="9">N36</f>
        <v>0</v>
      </c>
      <c r="O35" s="195">
        <f t="shared" si="9"/>
        <v>0</v>
      </c>
      <c r="P35" s="195">
        <f t="shared" si="9"/>
        <v>0</v>
      </c>
      <c r="Q35" s="195">
        <f t="shared" si="9"/>
        <v>0</v>
      </c>
      <c r="R35" s="195">
        <f t="shared" si="9"/>
        <v>0</v>
      </c>
      <c r="S35" s="195">
        <f t="shared" si="9"/>
        <v>0</v>
      </c>
      <c r="T35" s="195">
        <f t="shared" si="9"/>
        <v>0</v>
      </c>
      <c r="U35" s="195">
        <f t="shared" si="9"/>
        <v>0</v>
      </c>
      <c r="V35" s="195">
        <f t="shared" si="9"/>
        <v>0</v>
      </c>
      <c r="W35" s="195">
        <f t="shared" si="9"/>
        <v>0</v>
      </c>
      <c r="X35" s="195">
        <f t="shared" si="9"/>
        <v>6.4</v>
      </c>
      <c r="Y35" s="195">
        <f t="shared" si="9"/>
        <v>6.4</v>
      </c>
      <c r="Z35" s="195">
        <f t="shared" si="9"/>
        <v>0</v>
      </c>
      <c r="AA35" s="195">
        <f t="shared" si="9"/>
        <v>0</v>
      </c>
    </row>
    <row r="36" spans="1:27" s="200" customFormat="1" ht="31.5" x14ac:dyDescent="0.25">
      <c r="A36" s="197" t="s">
        <v>44</v>
      </c>
      <c r="B36" s="11" t="s">
        <v>45</v>
      </c>
      <c r="C36" s="198">
        <v>0</v>
      </c>
      <c r="D36" s="198">
        <f>SUM(D37:D39)</f>
        <v>20.600288557232069</v>
      </c>
      <c r="E36" s="198">
        <f t="shared" ref="E36:M36" si="10">SUM(E37:E39)</f>
        <v>0</v>
      </c>
      <c r="F36" s="198">
        <f t="shared" si="10"/>
        <v>7.4322937056972407</v>
      </c>
      <c r="G36" s="198">
        <f t="shared" si="10"/>
        <v>0</v>
      </c>
      <c r="H36" s="198">
        <f t="shared" si="10"/>
        <v>0</v>
      </c>
      <c r="I36" s="198" t="e">
        <f t="shared" si="10"/>
        <v>#REF!</v>
      </c>
      <c r="J36" s="198" t="e">
        <f t="shared" si="10"/>
        <v>#REF!</v>
      </c>
      <c r="K36" s="198">
        <f t="shared" si="10"/>
        <v>0</v>
      </c>
      <c r="L36" s="198"/>
      <c r="M36" s="198">
        <f t="shared" si="10"/>
        <v>17.166907131026726</v>
      </c>
      <c r="N36" s="198">
        <v>0</v>
      </c>
      <c r="O36" s="198">
        <f t="shared" si="9"/>
        <v>0</v>
      </c>
      <c r="P36" s="198">
        <f t="shared" si="9"/>
        <v>0</v>
      </c>
      <c r="Q36" s="198">
        <f t="shared" si="9"/>
        <v>0</v>
      </c>
      <c r="R36" s="198">
        <f t="shared" si="9"/>
        <v>0</v>
      </c>
      <c r="S36" s="198">
        <f t="shared" si="9"/>
        <v>0</v>
      </c>
      <c r="T36" s="198">
        <f t="shared" si="9"/>
        <v>0</v>
      </c>
      <c r="U36" s="198">
        <f t="shared" si="9"/>
        <v>0</v>
      </c>
      <c r="V36" s="198">
        <f t="shared" si="9"/>
        <v>0</v>
      </c>
      <c r="W36" s="198">
        <f t="shared" si="9"/>
        <v>0</v>
      </c>
      <c r="X36" s="198">
        <f t="shared" si="9"/>
        <v>6.4</v>
      </c>
      <c r="Y36" s="198">
        <f t="shared" si="9"/>
        <v>6.4</v>
      </c>
      <c r="Z36" s="198">
        <f t="shared" si="9"/>
        <v>0</v>
      </c>
      <c r="AA36" s="198">
        <f t="shared" si="9"/>
        <v>0</v>
      </c>
    </row>
    <row r="37" spans="1:27" s="362" customFormat="1" ht="62.25" customHeight="1" x14ac:dyDescent="0.25">
      <c r="A37" s="14" t="s">
        <v>46</v>
      </c>
      <c r="B37" s="491" t="s">
        <v>735</v>
      </c>
      <c r="C37" s="390" t="s">
        <v>721</v>
      </c>
      <c r="D37" s="351">
        <f>Ф2!Q39</f>
        <v>0</v>
      </c>
      <c r="E37" s="695" t="s">
        <v>783</v>
      </c>
      <c r="F37" s="485">
        <f>D37</f>
        <v>0</v>
      </c>
      <c r="G37" s="485">
        <v>0</v>
      </c>
      <c r="H37" s="485">
        <v>0</v>
      </c>
      <c r="I37" s="485">
        <f>Ф2!CE39</f>
        <v>0</v>
      </c>
      <c r="J37" s="485">
        <f>Ф2!CF39</f>
        <v>0</v>
      </c>
      <c r="K37" s="351">
        <f>Ф4!DE41</f>
        <v>0</v>
      </c>
      <c r="L37" s="370">
        <v>2020</v>
      </c>
      <c r="M37" s="351">
        <f>D37/1.2</f>
        <v>0</v>
      </c>
      <c r="N37" s="493" t="str">
        <f>Лист1!D8</f>
        <v>повышение качества оказываемых услуг в сфере электроэнергетики</v>
      </c>
      <c r="O37" s="351">
        <v>0</v>
      </c>
      <c r="P37" s="351">
        <v>0</v>
      </c>
      <c r="Q37" s="351">
        <v>0</v>
      </c>
      <c r="R37" s="351">
        <v>0</v>
      </c>
      <c r="S37" s="351">
        <v>0</v>
      </c>
      <c r="T37" s="351">
        <v>0</v>
      </c>
      <c r="U37" s="351">
        <v>0</v>
      </c>
      <c r="V37" s="351">
        <v>0</v>
      </c>
      <c r="W37" s="351">
        <v>0</v>
      </c>
      <c r="X37" s="351">
        <v>6.4</v>
      </c>
      <c r="Y37" s="351">
        <v>6.4</v>
      </c>
      <c r="Z37" s="351">
        <v>0</v>
      </c>
      <c r="AA37" s="351">
        <v>0</v>
      </c>
    </row>
    <row r="38" spans="1:27" s="362" customFormat="1" ht="60.75" customHeight="1" x14ac:dyDescent="0.25">
      <c r="A38" s="14" t="s">
        <v>527</v>
      </c>
      <c r="B38" s="492" t="s">
        <v>736</v>
      </c>
      <c r="C38" s="390" t="s">
        <v>722</v>
      </c>
      <c r="D38" s="351">
        <f>Ф2!Q40</f>
        <v>7.4322937056972407</v>
      </c>
      <c r="E38" s="696"/>
      <c r="F38" s="485">
        <f>D38</f>
        <v>7.4322937056972407</v>
      </c>
      <c r="G38" s="485"/>
      <c r="H38" s="485"/>
      <c r="I38" s="485" t="e">
        <f>Ф2!#REF!</f>
        <v>#REF!</v>
      </c>
      <c r="J38" s="485" t="e">
        <f>Ф2!#REF!</f>
        <v>#REF!</v>
      </c>
      <c r="K38" s="351">
        <f>Ф4!DE42</f>
        <v>0</v>
      </c>
      <c r="L38" s="370">
        <v>2020</v>
      </c>
      <c r="M38" s="351">
        <f t="shared" ref="M38:M39" si="11">D38/1.2</f>
        <v>6.1935780880810345</v>
      </c>
      <c r="N38" s="493" t="str">
        <f>Лист1!D8</f>
        <v>повышение качества оказываемых услуг в сфере электроэнергетики</v>
      </c>
      <c r="O38" s="351"/>
      <c r="P38" s="351"/>
      <c r="Q38" s="351"/>
      <c r="R38" s="351"/>
      <c r="S38" s="351"/>
      <c r="T38" s="351"/>
      <c r="U38" s="351"/>
      <c r="V38" s="351"/>
      <c r="W38" s="351"/>
      <c r="X38" s="351">
        <v>6.3E-2</v>
      </c>
      <c r="Y38" s="351">
        <v>0.5</v>
      </c>
      <c r="Z38" s="351"/>
      <c r="AA38" s="351"/>
    </row>
    <row r="39" spans="1:27" s="362" customFormat="1" ht="60.75" customHeight="1" x14ac:dyDescent="0.25">
      <c r="A39" s="14" t="s">
        <v>700</v>
      </c>
      <c r="B39" s="492" t="s">
        <v>737</v>
      </c>
      <c r="C39" s="390" t="s">
        <v>723</v>
      </c>
      <c r="D39" s="351">
        <f>Ф2!Q41</f>
        <v>13.167994851534827</v>
      </c>
      <c r="E39" s="697"/>
      <c r="F39" s="485"/>
      <c r="G39" s="485"/>
      <c r="H39" s="485"/>
      <c r="I39" s="485"/>
      <c r="J39" s="485"/>
      <c r="K39" s="351"/>
      <c r="L39" s="370"/>
      <c r="M39" s="351">
        <f t="shared" si="11"/>
        <v>10.973329042945689</v>
      </c>
      <c r="N39" s="506" t="str">
        <f>Лист1!D7</f>
        <v>повышение надежности оказываемых услуг в сфере электроэнергетики</v>
      </c>
      <c r="O39" s="351"/>
      <c r="P39" s="351"/>
      <c r="Q39" s="351"/>
      <c r="R39" s="351"/>
      <c r="S39" s="351"/>
      <c r="T39" s="351"/>
      <c r="U39" s="351"/>
      <c r="V39" s="351"/>
      <c r="W39" s="351"/>
      <c r="X39" s="351">
        <v>0</v>
      </c>
      <c r="Y39" s="351">
        <v>0</v>
      </c>
      <c r="Z39" s="351"/>
      <c r="AA39" s="351"/>
    </row>
    <row r="40" spans="1:27" s="200" customFormat="1" ht="31.5" x14ac:dyDescent="0.25">
      <c r="A40" s="197" t="s">
        <v>112</v>
      </c>
      <c r="B40" s="11" t="s">
        <v>113</v>
      </c>
      <c r="C40" s="198"/>
      <c r="D40" s="198"/>
      <c r="E40" s="198"/>
      <c r="F40" s="485"/>
      <c r="G40" s="485"/>
      <c r="H40" s="485"/>
      <c r="I40" s="485"/>
      <c r="J40" s="485"/>
      <c r="K40" s="198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</row>
    <row r="41" spans="1:27" s="196" customFormat="1" ht="31.5" x14ac:dyDescent="0.25">
      <c r="A41" s="194" t="s">
        <v>47</v>
      </c>
      <c r="B41" s="65" t="s">
        <v>48</v>
      </c>
      <c r="C41" s="195">
        <v>0</v>
      </c>
      <c r="D41" s="195">
        <f>D42</f>
        <v>12.556579092359067</v>
      </c>
      <c r="E41" s="195">
        <v>0</v>
      </c>
      <c r="F41" s="191">
        <f>F42</f>
        <v>12.556579092359067</v>
      </c>
      <c r="G41" s="191">
        <v>0</v>
      </c>
      <c r="H41" s="191">
        <v>0</v>
      </c>
      <c r="I41" s="191">
        <f t="shared" ref="I41:K41" si="12">I42</f>
        <v>10.47719756913094</v>
      </c>
      <c r="J41" s="191">
        <f t="shared" si="12"/>
        <v>0</v>
      </c>
      <c r="K41" s="195">
        <f t="shared" si="12"/>
        <v>0</v>
      </c>
      <c r="L41" s="195">
        <v>0</v>
      </c>
      <c r="M41" s="195">
        <f>M42</f>
        <v>10.463815910299223</v>
      </c>
      <c r="N41" s="195">
        <v>0</v>
      </c>
      <c r="O41" s="195">
        <v>0</v>
      </c>
      <c r="P41" s="195">
        <f t="shared" ref="P41:AA41" si="13">P42</f>
        <v>4.7169999999999996</v>
      </c>
      <c r="Q41" s="195">
        <f t="shared" si="13"/>
        <v>6.016</v>
      </c>
      <c r="R41" s="195">
        <f t="shared" si="13"/>
        <v>1.5659999999999998</v>
      </c>
      <c r="S41" s="195">
        <f t="shared" si="13"/>
        <v>1.5659999999999998</v>
      </c>
      <c r="T41" s="195">
        <f t="shared" si="13"/>
        <v>0</v>
      </c>
      <c r="U41" s="195">
        <f t="shared" si="13"/>
        <v>0</v>
      </c>
      <c r="V41" s="195">
        <f t="shared" si="13"/>
        <v>0</v>
      </c>
      <c r="W41" s="195">
        <f t="shared" si="13"/>
        <v>0</v>
      </c>
      <c r="X41" s="195">
        <f t="shared" si="13"/>
        <v>0</v>
      </c>
      <c r="Y41" s="195">
        <f t="shared" si="13"/>
        <v>0.41000000000000003</v>
      </c>
      <c r="Z41" s="195">
        <f t="shared" si="13"/>
        <v>0</v>
      </c>
      <c r="AA41" s="195">
        <f t="shared" si="13"/>
        <v>0</v>
      </c>
    </row>
    <row r="42" spans="1:27" s="200" customFormat="1" x14ac:dyDescent="0.25">
      <c r="A42" s="197" t="s">
        <v>74</v>
      </c>
      <c r="B42" s="11" t="s">
        <v>75</v>
      </c>
      <c r="C42" s="198">
        <v>0</v>
      </c>
      <c r="D42" s="198">
        <f>SUM(D43:D46)</f>
        <v>12.556579092359067</v>
      </c>
      <c r="E42" s="198">
        <f t="shared" ref="E42:M42" si="14">SUM(E43:E46)</f>
        <v>0</v>
      </c>
      <c r="F42" s="198">
        <f t="shared" si="14"/>
        <v>12.556579092359067</v>
      </c>
      <c r="G42" s="198">
        <f t="shared" si="14"/>
        <v>0</v>
      </c>
      <c r="H42" s="198">
        <f t="shared" si="14"/>
        <v>0</v>
      </c>
      <c r="I42" s="198">
        <f t="shared" si="14"/>
        <v>10.47719756913094</v>
      </c>
      <c r="J42" s="198">
        <f t="shared" si="14"/>
        <v>0</v>
      </c>
      <c r="K42" s="198">
        <f t="shared" si="14"/>
        <v>0</v>
      </c>
      <c r="L42" s="198"/>
      <c r="M42" s="198">
        <f t="shared" si="14"/>
        <v>10.463815910299223</v>
      </c>
      <c r="N42" s="198">
        <f t="shared" ref="N42:O42" si="15">SUM(N43:N46)</f>
        <v>0</v>
      </c>
      <c r="O42" s="198">
        <f t="shared" si="15"/>
        <v>0</v>
      </c>
      <c r="P42" s="198">
        <f>SUM(P43:P46)</f>
        <v>4.7169999999999996</v>
      </c>
      <c r="Q42" s="198">
        <f t="shared" ref="Q42:AA42" si="16">SUM(Q43:Q46)</f>
        <v>6.016</v>
      </c>
      <c r="R42" s="198">
        <f t="shared" si="16"/>
        <v>1.5659999999999998</v>
      </c>
      <c r="S42" s="198">
        <f t="shared" si="16"/>
        <v>1.5659999999999998</v>
      </c>
      <c r="T42" s="198">
        <f t="shared" si="16"/>
        <v>0</v>
      </c>
      <c r="U42" s="198">
        <f t="shared" si="16"/>
        <v>0</v>
      </c>
      <c r="V42" s="198">
        <f t="shared" si="16"/>
        <v>0</v>
      </c>
      <c r="W42" s="198">
        <f t="shared" si="16"/>
        <v>0</v>
      </c>
      <c r="X42" s="198">
        <f t="shared" si="16"/>
        <v>0</v>
      </c>
      <c r="Y42" s="198">
        <f t="shared" si="16"/>
        <v>0.41000000000000003</v>
      </c>
      <c r="Z42" s="198">
        <f t="shared" si="16"/>
        <v>0</v>
      </c>
      <c r="AA42" s="198">
        <f t="shared" si="16"/>
        <v>0</v>
      </c>
    </row>
    <row r="43" spans="1:27" s="362" customFormat="1" ht="74.25" customHeight="1" x14ac:dyDescent="0.25">
      <c r="A43" s="14" t="s">
        <v>76</v>
      </c>
      <c r="B43" s="491" t="s">
        <v>738</v>
      </c>
      <c r="C43" s="390" t="s">
        <v>724</v>
      </c>
      <c r="D43" s="351">
        <f>Ф2!Q45</f>
        <v>8.2708842069840003</v>
      </c>
      <c r="E43" s="695" t="s">
        <v>783</v>
      </c>
      <c r="F43" s="485">
        <f>D43</f>
        <v>8.2708842069840003</v>
      </c>
      <c r="G43" s="485"/>
      <c r="H43" s="485"/>
      <c r="I43" s="485">
        <f>F43-J43</f>
        <v>8.2708842069840003</v>
      </c>
      <c r="J43" s="485">
        <f>Ф2!AR45</f>
        <v>0</v>
      </c>
      <c r="K43" s="351">
        <f>Ф4!DE47</f>
        <v>0</v>
      </c>
      <c r="L43" s="370">
        <v>2020</v>
      </c>
      <c r="M43" s="351">
        <f>D43/1.2</f>
        <v>6.8924035058200008</v>
      </c>
      <c r="N43" s="351" t="str">
        <f>Лист1!D7</f>
        <v>повышение надежности оказываемых услуг в сфере электроэнергетики</v>
      </c>
      <c r="O43" s="351"/>
      <c r="P43" s="351">
        <v>2.6509999999999998</v>
      </c>
      <c r="Q43" s="351">
        <v>3.95</v>
      </c>
      <c r="R43" s="351"/>
      <c r="S43" s="351"/>
      <c r="T43" s="351"/>
      <c r="U43" s="351"/>
      <c r="V43" s="351"/>
      <c r="W43" s="351"/>
      <c r="X43" s="351">
        <v>0</v>
      </c>
      <c r="Y43" s="351">
        <v>0.25</v>
      </c>
      <c r="Z43" s="351"/>
      <c r="AA43" s="351"/>
    </row>
    <row r="44" spans="1:27" s="362" customFormat="1" ht="39" customHeight="1" x14ac:dyDescent="0.25">
      <c r="A44" s="14" t="s">
        <v>659</v>
      </c>
      <c r="B44" s="491" t="s">
        <v>739</v>
      </c>
      <c r="C44" s="390" t="s">
        <v>725</v>
      </c>
      <c r="D44" s="351">
        <f>Ф2!Q46</f>
        <v>1.0169095215695039</v>
      </c>
      <c r="E44" s="696"/>
      <c r="F44" s="485">
        <f t="shared" ref="F44:F45" si="17">D44</f>
        <v>1.0169095215695039</v>
      </c>
      <c r="G44" s="485"/>
      <c r="H44" s="485"/>
      <c r="I44" s="485">
        <f>Ф2!BA46</f>
        <v>0</v>
      </c>
      <c r="J44" s="485"/>
      <c r="K44" s="351">
        <f>Ф4!DE48</f>
        <v>0</v>
      </c>
      <c r="L44" s="370">
        <v>2021</v>
      </c>
      <c r="M44" s="351">
        <f t="shared" ref="M44:M45" si="18">D44/1.2</f>
        <v>0.84742460130791997</v>
      </c>
      <c r="N44" s="706" t="str">
        <f>Лист1!D8</f>
        <v>повышение качества оказываемых услуг в сфере электроэнергетики</v>
      </c>
      <c r="O44" s="351"/>
      <c r="P44" s="351"/>
      <c r="Q44" s="351"/>
      <c r="R44" s="351">
        <v>0.74099999999999999</v>
      </c>
      <c r="S44" s="351">
        <v>0.74099999999999999</v>
      </c>
      <c r="T44" s="351"/>
      <c r="U44" s="351"/>
      <c r="V44" s="351"/>
      <c r="W44" s="351"/>
      <c r="X44" s="351"/>
      <c r="Y44" s="351"/>
      <c r="Z44" s="351"/>
      <c r="AA44" s="351"/>
    </row>
    <row r="45" spans="1:27" s="362" customFormat="1" ht="39" customHeight="1" x14ac:dyDescent="0.25">
      <c r="A45" s="14" t="s">
        <v>661</v>
      </c>
      <c r="B45" s="491" t="s">
        <v>740</v>
      </c>
      <c r="C45" s="390" t="s">
        <v>726</v>
      </c>
      <c r="D45" s="351">
        <f>Ф2!Q47</f>
        <v>1.0624720016586238</v>
      </c>
      <c r="E45" s="696"/>
      <c r="F45" s="485">
        <f t="shared" si="17"/>
        <v>1.0624720016586238</v>
      </c>
      <c r="G45" s="485"/>
      <c r="H45" s="485"/>
      <c r="I45" s="485">
        <f>Ф2!BA47</f>
        <v>0</v>
      </c>
      <c r="J45" s="485">
        <f>Ф2!BB47</f>
        <v>0</v>
      </c>
      <c r="K45" s="351">
        <f>Ф4!DE49</f>
        <v>0</v>
      </c>
      <c r="L45" s="370">
        <v>2021</v>
      </c>
      <c r="M45" s="351">
        <f t="shared" si="18"/>
        <v>0.88539333471551984</v>
      </c>
      <c r="N45" s="654"/>
      <c r="O45" s="351"/>
      <c r="P45" s="351"/>
      <c r="Q45" s="351"/>
      <c r="R45" s="351">
        <v>0.82499999999999996</v>
      </c>
      <c r="S45" s="351">
        <v>0.82499999999999996</v>
      </c>
      <c r="T45" s="351"/>
      <c r="U45" s="351"/>
      <c r="V45" s="351"/>
      <c r="W45" s="351"/>
      <c r="X45" s="351"/>
      <c r="Y45" s="351"/>
      <c r="Z45" s="351"/>
      <c r="AA45" s="351"/>
    </row>
    <row r="46" spans="1:27" s="362" customFormat="1" ht="72.75" customHeight="1" x14ac:dyDescent="0.25">
      <c r="A46" s="14" t="s">
        <v>662</v>
      </c>
      <c r="B46" s="491" t="s">
        <v>741</v>
      </c>
      <c r="C46" s="390" t="s">
        <v>727</v>
      </c>
      <c r="D46" s="351">
        <f>Ф2!Q48</f>
        <v>2.2063133621469393</v>
      </c>
      <c r="E46" s="697"/>
      <c r="F46" s="485">
        <f>D46</f>
        <v>2.2063133621469393</v>
      </c>
      <c r="G46" s="485">
        <v>0</v>
      </c>
      <c r="H46" s="485">
        <v>0</v>
      </c>
      <c r="I46" s="485">
        <f>F46-J46</f>
        <v>2.2063133621469393</v>
      </c>
      <c r="J46" s="485">
        <f>Ф2!CF48</f>
        <v>0</v>
      </c>
      <c r="K46" s="351">
        <f>Ф4!DE50</f>
        <v>0</v>
      </c>
      <c r="L46" s="370">
        <v>2021</v>
      </c>
      <c r="M46" s="351">
        <f>D46/1.2</f>
        <v>1.8385944684557829</v>
      </c>
      <c r="N46" s="370" t="str">
        <f>Лист1!D7</f>
        <v>повышение надежности оказываемых услуг в сфере электроэнергетики</v>
      </c>
      <c r="O46" s="351">
        <v>0</v>
      </c>
      <c r="P46" s="351">
        <v>2.0659999999999998</v>
      </c>
      <c r="Q46" s="351">
        <v>2.0659999999999998</v>
      </c>
      <c r="R46" s="351"/>
      <c r="S46" s="351"/>
      <c r="T46" s="351"/>
      <c r="U46" s="351"/>
      <c r="V46" s="351"/>
      <c r="W46" s="351"/>
      <c r="X46" s="351"/>
      <c r="Y46" s="351">
        <v>0.16</v>
      </c>
      <c r="Z46" s="351">
        <v>0</v>
      </c>
      <c r="AA46" s="351">
        <v>0</v>
      </c>
    </row>
    <row r="47" spans="1:27" s="200" customFormat="1" ht="31.5" hidden="1" x14ac:dyDescent="0.25">
      <c r="A47" s="197" t="s">
        <v>114</v>
      </c>
      <c r="B47" s="11" t="s">
        <v>115</v>
      </c>
      <c r="C47" s="198"/>
      <c r="D47" s="198"/>
      <c r="E47" s="198"/>
      <c r="F47" s="485"/>
      <c r="G47" s="485"/>
      <c r="H47" s="485"/>
      <c r="I47" s="485"/>
      <c r="J47" s="485"/>
      <c r="K47" s="198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</row>
    <row r="48" spans="1:27" s="196" customFormat="1" ht="31.5" x14ac:dyDescent="0.25">
      <c r="A48" s="194" t="s">
        <v>116</v>
      </c>
      <c r="B48" s="65" t="s">
        <v>117</v>
      </c>
      <c r="C48" s="195">
        <v>0</v>
      </c>
      <c r="D48" s="195">
        <f>D49</f>
        <v>33.098491262457649</v>
      </c>
      <c r="E48" s="195">
        <f t="shared" ref="E48:M48" si="19">E49</f>
        <v>0</v>
      </c>
      <c r="F48" s="195">
        <f t="shared" si="19"/>
        <v>0</v>
      </c>
      <c r="G48" s="195">
        <f t="shared" si="19"/>
        <v>0</v>
      </c>
      <c r="H48" s="195">
        <f t="shared" si="19"/>
        <v>0</v>
      </c>
      <c r="I48" s="195">
        <f t="shared" si="19"/>
        <v>0</v>
      </c>
      <c r="J48" s="195">
        <f t="shared" si="19"/>
        <v>0</v>
      </c>
      <c r="K48" s="195">
        <f t="shared" si="19"/>
        <v>0</v>
      </c>
      <c r="L48" s="195">
        <f t="shared" si="19"/>
        <v>0</v>
      </c>
      <c r="M48" s="195">
        <f t="shared" si="19"/>
        <v>27.582076052048038</v>
      </c>
      <c r="N48" s="195">
        <f t="shared" ref="N48" si="20">N49</f>
        <v>0</v>
      </c>
      <c r="O48" s="195">
        <f t="shared" ref="O48" si="21">O49</f>
        <v>0</v>
      </c>
      <c r="P48" s="195">
        <f t="shared" ref="P48" si="22">P49</f>
        <v>0</v>
      </c>
      <c r="Q48" s="195">
        <f t="shared" ref="Q48" si="23">Q49</f>
        <v>0</v>
      </c>
      <c r="R48" s="195">
        <f t="shared" ref="R48" si="24">R49</f>
        <v>0</v>
      </c>
      <c r="S48" s="195">
        <f t="shared" ref="S48" si="25">S49</f>
        <v>0</v>
      </c>
      <c r="T48" s="195">
        <f t="shared" ref="T48" si="26">T49</f>
        <v>0</v>
      </c>
      <c r="U48" s="195">
        <f t="shared" ref="U48" si="27">U49</f>
        <v>0</v>
      </c>
      <c r="V48" s="195">
        <f t="shared" ref="V48" si="28">V49</f>
        <v>0</v>
      </c>
      <c r="W48" s="195">
        <f t="shared" ref="W48" si="29">W49</f>
        <v>0</v>
      </c>
      <c r="X48" s="195">
        <f t="shared" ref="X48" si="30">X49</f>
        <v>0</v>
      </c>
      <c r="Y48" s="195">
        <f t="shared" ref="Y48" si="31">Y49</f>
        <v>0</v>
      </c>
      <c r="Z48" s="195">
        <f t="shared" ref="Z48" si="32">Z49</f>
        <v>0</v>
      </c>
      <c r="AA48" s="318">
        <f t="shared" ref="AA48" si="33">AA49</f>
        <v>1219</v>
      </c>
    </row>
    <row r="49" spans="1:27" s="200" customFormat="1" ht="31.5" outlineLevel="1" x14ac:dyDescent="0.25">
      <c r="A49" s="197" t="s">
        <v>118</v>
      </c>
      <c r="B49" s="11" t="s">
        <v>119</v>
      </c>
      <c r="C49" s="198">
        <v>0</v>
      </c>
      <c r="D49" s="198">
        <f>SUM(D50:D54)</f>
        <v>33.098491262457649</v>
      </c>
      <c r="E49" s="198">
        <f t="shared" ref="E49:K49" si="34">SUM(E50:E54)</f>
        <v>0</v>
      </c>
      <c r="F49" s="198">
        <f t="shared" si="34"/>
        <v>0</v>
      </c>
      <c r="G49" s="198">
        <f t="shared" si="34"/>
        <v>0</v>
      </c>
      <c r="H49" s="198">
        <f t="shared" si="34"/>
        <v>0</v>
      </c>
      <c r="I49" s="198">
        <f t="shared" si="34"/>
        <v>0</v>
      </c>
      <c r="J49" s="198">
        <f t="shared" si="34"/>
        <v>0</v>
      </c>
      <c r="K49" s="198">
        <f t="shared" si="34"/>
        <v>0</v>
      </c>
      <c r="L49" s="198"/>
      <c r="M49" s="198">
        <f t="shared" ref="M49" si="35">SUM(M50:M54)</f>
        <v>27.582076052048038</v>
      </c>
      <c r="N49" s="198">
        <f t="shared" ref="N49" si="36">SUM(N50:N54)</f>
        <v>0</v>
      </c>
      <c r="O49" s="198">
        <f t="shared" ref="O49" si="37">SUM(O50:O54)</f>
        <v>0</v>
      </c>
      <c r="P49" s="198">
        <f t="shared" ref="P49" si="38">SUM(P50:P54)</f>
        <v>0</v>
      </c>
      <c r="Q49" s="198">
        <f t="shared" ref="Q49" si="39">SUM(Q50:Q54)</f>
        <v>0</v>
      </c>
      <c r="R49" s="198">
        <f t="shared" ref="R49" si="40">SUM(R50:R54)</f>
        <v>0</v>
      </c>
      <c r="S49" s="198">
        <f t="shared" ref="S49" si="41">SUM(S50:S54)</f>
        <v>0</v>
      </c>
      <c r="T49" s="198">
        <f t="shared" ref="T49" si="42">SUM(T50:T54)</f>
        <v>0</v>
      </c>
      <c r="U49" s="198">
        <f t="shared" ref="U49" si="43">SUM(U50:U54)</f>
        <v>0</v>
      </c>
      <c r="V49" s="198">
        <f t="shared" ref="V49" si="44">SUM(V50:V54)</f>
        <v>0</v>
      </c>
      <c r="W49" s="198">
        <f t="shared" ref="W49" si="45">SUM(W50:W54)</f>
        <v>0</v>
      </c>
      <c r="X49" s="198">
        <f t="shared" ref="X49" si="46">SUM(X50:X54)</f>
        <v>0</v>
      </c>
      <c r="Y49" s="198">
        <f t="shared" ref="Y49" si="47">SUM(Y50:Y54)</f>
        <v>0</v>
      </c>
      <c r="Z49" s="198">
        <f t="shared" ref="Z49" si="48">SUM(Z50:Z54)</f>
        <v>0</v>
      </c>
      <c r="AA49" s="319">
        <f t="shared" ref="AA49" si="49">SUM(AA50:AA54)</f>
        <v>1219</v>
      </c>
    </row>
    <row r="50" spans="1:27" s="200" customFormat="1" outlineLevel="1" x14ac:dyDescent="0.25">
      <c r="A50" s="14" t="s">
        <v>701</v>
      </c>
      <c r="B50" s="421" t="s">
        <v>706</v>
      </c>
      <c r="C50" s="390" t="s">
        <v>728</v>
      </c>
      <c r="D50" s="393">
        <f>Ф2!Q52</f>
        <v>9.722202728000001</v>
      </c>
      <c r="E50" s="701" t="s">
        <v>784</v>
      </c>
      <c r="F50" s="485"/>
      <c r="G50" s="485"/>
      <c r="H50" s="485"/>
      <c r="I50" s="485"/>
      <c r="J50" s="485"/>
      <c r="K50" s="393"/>
      <c r="L50" s="398">
        <f>Ф13!E49</f>
        <v>2022</v>
      </c>
      <c r="M50" s="393">
        <f>D50/1.2</f>
        <v>8.1018356066666684</v>
      </c>
      <c r="N50" s="707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319">
        <v>347</v>
      </c>
    </row>
    <row r="51" spans="1:27" s="200" customFormat="1" outlineLevel="1" x14ac:dyDescent="0.25">
      <c r="A51" s="14" t="s">
        <v>702</v>
      </c>
      <c r="B51" s="421" t="s">
        <v>706</v>
      </c>
      <c r="C51" s="390" t="s">
        <v>729</v>
      </c>
      <c r="D51" s="393">
        <f>Ф2!Q53</f>
        <v>7.1332700340479995</v>
      </c>
      <c r="E51" s="702"/>
      <c r="F51" s="485"/>
      <c r="G51" s="485"/>
      <c r="H51" s="485"/>
      <c r="I51" s="485"/>
      <c r="J51" s="485"/>
      <c r="K51" s="393"/>
      <c r="L51" s="398">
        <f>Ф13!E50</f>
        <v>2023</v>
      </c>
      <c r="M51" s="393">
        <f t="shared" ref="M51:M54" si="50">D51/1.2</f>
        <v>5.9443916950400002</v>
      </c>
      <c r="N51" s="70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319">
        <v>287</v>
      </c>
    </row>
    <row r="52" spans="1:27" s="200" customFormat="1" outlineLevel="1" x14ac:dyDescent="0.25">
      <c r="A52" s="14" t="s">
        <v>703</v>
      </c>
      <c r="B52" s="421" t="s">
        <v>706</v>
      </c>
      <c r="C52" s="390" t="s">
        <v>730</v>
      </c>
      <c r="D52" s="393">
        <f>Ф2!Q54</f>
        <v>4.5374394127440958</v>
      </c>
      <c r="E52" s="702"/>
      <c r="F52" s="485"/>
      <c r="G52" s="485"/>
      <c r="H52" s="485"/>
      <c r="I52" s="485"/>
      <c r="J52" s="485"/>
      <c r="K52" s="393"/>
      <c r="L52" s="398">
        <f>Ф13!E51</f>
        <v>2024</v>
      </c>
      <c r="M52" s="393">
        <f t="shared" si="50"/>
        <v>3.78119951062008</v>
      </c>
      <c r="N52" s="70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319">
        <v>171</v>
      </c>
    </row>
    <row r="53" spans="1:27" s="200" customFormat="1" outlineLevel="1" x14ac:dyDescent="0.25">
      <c r="A53" s="14" t="s">
        <v>704</v>
      </c>
      <c r="B53" s="421" t="s">
        <v>706</v>
      </c>
      <c r="C53" s="390" t="s">
        <v>731</v>
      </c>
      <c r="D53" s="393">
        <f>Ф2!Q55</f>
        <v>5.5269401799240248</v>
      </c>
      <c r="E53" s="702"/>
      <c r="F53" s="485"/>
      <c r="G53" s="485"/>
      <c r="H53" s="485"/>
      <c r="I53" s="485"/>
      <c r="J53" s="485"/>
      <c r="K53" s="393"/>
      <c r="L53" s="398">
        <f>Ф13!E52</f>
        <v>2025</v>
      </c>
      <c r="M53" s="393">
        <f t="shared" si="50"/>
        <v>4.6057834832700211</v>
      </c>
      <c r="N53" s="70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319">
        <v>201</v>
      </c>
    </row>
    <row r="54" spans="1:27" s="200" customFormat="1" outlineLevel="1" x14ac:dyDescent="0.25">
      <c r="A54" s="14" t="s">
        <v>705</v>
      </c>
      <c r="B54" s="421" t="s">
        <v>706</v>
      </c>
      <c r="C54" s="390" t="s">
        <v>732</v>
      </c>
      <c r="D54" s="393">
        <f>Ф2!Q56</f>
        <v>6.178638907741524</v>
      </c>
      <c r="E54" s="703"/>
      <c r="F54" s="485"/>
      <c r="G54" s="485"/>
      <c r="H54" s="485"/>
      <c r="I54" s="485"/>
      <c r="J54" s="485"/>
      <c r="K54" s="393"/>
      <c r="L54" s="398">
        <f>Ф13!E53</f>
        <v>2026</v>
      </c>
      <c r="M54" s="393">
        <f t="shared" si="50"/>
        <v>5.1488657564512703</v>
      </c>
      <c r="N54" s="709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319">
        <v>213</v>
      </c>
    </row>
    <row r="55" spans="1:27" s="200" customFormat="1" ht="31.5" outlineLevel="1" x14ac:dyDescent="0.25">
      <c r="A55" s="197" t="s">
        <v>120</v>
      </c>
      <c r="B55" s="11" t="s">
        <v>49</v>
      </c>
      <c r="C55" s="195">
        <v>0</v>
      </c>
      <c r="D55" s="198"/>
      <c r="E55" s="195">
        <v>0</v>
      </c>
      <c r="F55" s="485"/>
      <c r="G55" s="191">
        <v>0</v>
      </c>
      <c r="H55" s="191">
        <v>0</v>
      </c>
      <c r="I55" s="485"/>
      <c r="J55" s="191">
        <v>0</v>
      </c>
      <c r="K55" s="198"/>
      <c r="L55" s="195">
        <v>0</v>
      </c>
      <c r="M55" s="198"/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</row>
    <row r="56" spans="1:27" s="200" customFormat="1" outlineLevel="1" x14ac:dyDescent="0.25">
      <c r="A56" s="197" t="s">
        <v>50</v>
      </c>
      <c r="B56" s="11" t="s">
        <v>51</v>
      </c>
      <c r="C56" s="198">
        <v>0</v>
      </c>
      <c r="D56" s="198"/>
      <c r="E56" s="198">
        <v>0</v>
      </c>
      <c r="F56" s="485"/>
      <c r="G56" s="485">
        <v>0</v>
      </c>
      <c r="H56" s="485">
        <v>0</v>
      </c>
      <c r="I56" s="485"/>
      <c r="J56" s="485">
        <v>0</v>
      </c>
      <c r="K56" s="198"/>
      <c r="L56" s="198">
        <v>0</v>
      </c>
      <c r="M56" s="198"/>
      <c r="N56" s="198">
        <v>0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0</v>
      </c>
      <c r="X56" s="198">
        <v>0</v>
      </c>
      <c r="Y56" s="198">
        <v>0</v>
      </c>
      <c r="Z56" s="198">
        <v>0</v>
      </c>
      <c r="AA56" s="198">
        <v>0</v>
      </c>
    </row>
    <row r="57" spans="1:27" s="200" customFormat="1" ht="31.5" outlineLevel="1" x14ac:dyDescent="0.25">
      <c r="A57" s="197" t="s">
        <v>52</v>
      </c>
      <c r="B57" s="11" t="s">
        <v>53</v>
      </c>
      <c r="C57" s="195">
        <v>0</v>
      </c>
      <c r="D57" s="198"/>
      <c r="E57" s="195">
        <v>0</v>
      </c>
      <c r="F57" s="485"/>
      <c r="G57" s="191">
        <v>0</v>
      </c>
      <c r="H57" s="191">
        <v>0</v>
      </c>
      <c r="I57" s="485"/>
      <c r="J57" s="191">
        <v>0</v>
      </c>
      <c r="K57" s="198"/>
      <c r="L57" s="195">
        <v>0</v>
      </c>
      <c r="M57" s="198"/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</row>
    <row r="58" spans="1:27" s="200" customFormat="1" ht="31.5" x14ac:dyDescent="0.25">
      <c r="A58" s="197" t="s">
        <v>54</v>
      </c>
      <c r="B58" s="11" t="s">
        <v>55</v>
      </c>
      <c r="C58" s="198">
        <v>0</v>
      </c>
      <c r="D58" s="198">
        <v>0</v>
      </c>
      <c r="E58" s="198">
        <v>0</v>
      </c>
      <c r="F58" s="485">
        <v>0</v>
      </c>
      <c r="G58" s="485">
        <v>0</v>
      </c>
      <c r="H58" s="485">
        <v>0</v>
      </c>
      <c r="I58" s="485">
        <v>0</v>
      </c>
      <c r="J58" s="485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319">
        <v>0</v>
      </c>
    </row>
    <row r="59" spans="1:27" s="134" customFormat="1" ht="31.5" hidden="1" outlineLevel="1" x14ac:dyDescent="0.25">
      <c r="A59" s="14" t="s">
        <v>56</v>
      </c>
      <c r="B59" s="11" t="s">
        <v>57</v>
      </c>
      <c r="C59" s="127"/>
      <c r="D59" s="127"/>
      <c r="E59" s="125"/>
      <c r="F59" s="497"/>
      <c r="G59" s="498"/>
      <c r="H59" s="498"/>
      <c r="I59" s="498"/>
      <c r="J59" s="499"/>
      <c r="K59" s="127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6"/>
    </row>
    <row r="60" spans="1:27" ht="31.5" hidden="1" outlineLevel="1" x14ac:dyDescent="0.25">
      <c r="A60" s="14" t="s">
        <v>58</v>
      </c>
      <c r="B60" s="11" t="s">
        <v>59</v>
      </c>
      <c r="C60" s="17"/>
      <c r="D60" s="17"/>
      <c r="E60" s="47"/>
      <c r="F60" s="500"/>
      <c r="G60" s="501"/>
      <c r="H60" s="501"/>
      <c r="I60" s="501"/>
      <c r="J60" s="502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313"/>
    </row>
    <row r="61" spans="1:27" ht="31.5" hidden="1" outlineLevel="1" x14ac:dyDescent="0.25">
      <c r="A61" s="14" t="s">
        <v>60</v>
      </c>
      <c r="B61" s="11" t="s">
        <v>61</v>
      </c>
      <c r="C61" s="17"/>
      <c r="D61" s="17"/>
      <c r="E61" s="47"/>
      <c r="F61" s="500"/>
      <c r="G61" s="501"/>
      <c r="H61" s="501"/>
      <c r="I61" s="501"/>
      <c r="J61" s="502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313"/>
    </row>
    <row r="62" spans="1:27" s="25" customFormat="1" ht="31.5" hidden="1" outlineLevel="1" x14ac:dyDescent="0.25">
      <c r="A62" s="22" t="s">
        <v>62</v>
      </c>
      <c r="B62" s="264" t="s">
        <v>63</v>
      </c>
      <c r="C62" s="24"/>
      <c r="D62" s="24"/>
      <c r="E62" s="48"/>
      <c r="F62" s="500"/>
      <c r="G62" s="501"/>
      <c r="H62" s="501"/>
      <c r="I62" s="501"/>
      <c r="J62" s="502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313"/>
    </row>
    <row r="63" spans="1:27" hidden="1" outlineLevel="1" x14ac:dyDescent="0.25">
      <c r="A63" s="14" t="s">
        <v>64</v>
      </c>
      <c r="B63" s="11" t="s">
        <v>65</v>
      </c>
      <c r="C63" s="17"/>
      <c r="D63" s="17"/>
      <c r="E63" s="47"/>
      <c r="F63" s="500"/>
      <c r="G63" s="501"/>
      <c r="H63" s="501"/>
      <c r="I63" s="501"/>
      <c r="J63" s="502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313"/>
    </row>
    <row r="64" spans="1:27" ht="31.5" hidden="1" outlineLevel="1" x14ac:dyDescent="0.25">
      <c r="A64" s="14" t="s">
        <v>66</v>
      </c>
      <c r="B64" s="11" t="s">
        <v>67</v>
      </c>
      <c r="C64" s="17"/>
      <c r="D64" s="17"/>
      <c r="E64" s="47"/>
      <c r="F64" s="500"/>
      <c r="G64" s="501"/>
      <c r="H64" s="501"/>
      <c r="I64" s="501"/>
      <c r="J64" s="502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313"/>
    </row>
    <row r="65" spans="1:27" s="28" customFormat="1" ht="47.25" hidden="1" outlineLevel="1" collapsed="1" x14ac:dyDescent="0.25">
      <c r="A65" s="20" t="s">
        <v>68</v>
      </c>
      <c r="B65" s="265" t="s">
        <v>69</v>
      </c>
      <c r="C65" s="27"/>
      <c r="D65" s="27"/>
      <c r="E65" s="49"/>
      <c r="F65" s="503"/>
      <c r="G65" s="504"/>
      <c r="H65" s="504"/>
      <c r="I65" s="504"/>
      <c r="J65" s="505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317"/>
    </row>
    <row r="66" spans="1:27" s="25" customFormat="1" ht="31.5" hidden="1" outlineLevel="1" x14ac:dyDescent="0.25">
      <c r="A66" s="22" t="s">
        <v>70</v>
      </c>
      <c r="B66" s="264" t="s">
        <v>71</v>
      </c>
      <c r="C66" s="24"/>
      <c r="D66" s="24"/>
      <c r="E66" s="48"/>
      <c r="F66" s="500"/>
      <c r="G66" s="501"/>
      <c r="H66" s="501"/>
      <c r="I66" s="501"/>
      <c r="J66" s="502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313"/>
    </row>
    <row r="67" spans="1:27" s="25" customFormat="1" ht="31.5" hidden="1" outlineLevel="1" x14ac:dyDescent="0.25">
      <c r="A67" s="22" t="s">
        <v>72</v>
      </c>
      <c r="B67" s="264" t="s">
        <v>73</v>
      </c>
      <c r="C67" s="24"/>
      <c r="D67" s="24"/>
      <c r="E67" s="48"/>
      <c r="F67" s="500"/>
      <c r="G67" s="501"/>
      <c r="H67" s="501"/>
      <c r="I67" s="501"/>
      <c r="J67" s="502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313"/>
    </row>
    <row r="68" spans="1:27" s="28" customFormat="1" collapsed="1" x14ac:dyDescent="0.25">
      <c r="A68" s="20" t="s">
        <v>528</v>
      </c>
      <c r="B68" s="265" t="s">
        <v>529</v>
      </c>
      <c r="C68" s="27"/>
      <c r="D68" s="267">
        <f>SUM(D69:D70)</f>
        <v>13.71471816984492</v>
      </c>
      <c r="E68" s="267">
        <f t="shared" ref="E68:AA68" si="51">SUM(E69:E70)</f>
        <v>0</v>
      </c>
      <c r="F68" s="267">
        <f t="shared" si="51"/>
        <v>13.71471816984492</v>
      </c>
      <c r="G68" s="267">
        <f t="shared" si="51"/>
        <v>0</v>
      </c>
      <c r="H68" s="267">
        <f t="shared" si="51"/>
        <v>0</v>
      </c>
      <c r="I68" s="267">
        <f t="shared" si="51"/>
        <v>0</v>
      </c>
      <c r="J68" s="267">
        <f t="shared" si="51"/>
        <v>0</v>
      </c>
      <c r="K68" s="267">
        <f t="shared" si="51"/>
        <v>0</v>
      </c>
      <c r="L68" s="267"/>
      <c r="M68" s="267">
        <f t="shared" si="51"/>
        <v>11.428931808204101</v>
      </c>
      <c r="N68" s="267">
        <f t="shared" si="51"/>
        <v>0</v>
      </c>
      <c r="O68" s="508">
        <f t="shared" si="51"/>
        <v>0</v>
      </c>
      <c r="P68" s="508">
        <f t="shared" ref="P68" si="52">SUM(P69:P70)</f>
        <v>0</v>
      </c>
      <c r="Q68" s="508">
        <f t="shared" ref="Q68" si="53">SUM(Q69:Q70)</f>
        <v>0</v>
      </c>
      <c r="R68" s="508">
        <f t="shared" ref="R68" si="54">SUM(R69:R70)</f>
        <v>0</v>
      </c>
      <c r="S68" s="508">
        <f t="shared" ref="S68" si="55">SUM(S69:S70)</f>
        <v>0</v>
      </c>
      <c r="T68" s="508">
        <f t="shared" ref="T68" si="56">SUM(T69:T70)</f>
        <v>0</v>
      </c>
      <c r="U68" s="508">
        <f t="shared" ref="U68" si="57">SUM(U69:U70)</f>
        <v>0</v>
      </c>
      <c r="V68" s="508">
        <f t="shared" ref="V68" si="58">SUM(V69:V70)</f>
        <v>0</v>
      </c>
      <c r="W68" s="508">
        <f t="shared" ref="W68" si="59">SUM(W69:W70)</f>
        <v>0</v>
      </c>
      <c r="X68" s="508">
        <f t="shared" ref="X68" si="60">SUM(X69:X70)</f>
        <v>0</v>
      </c>
      <c r="Y68" s="508">
        <f t="shared" ref="Y68" si="61">SUM(Y69:Y70)</f>
        <v>0</v>
      </c>
      <c r="Z68" s="508">
        <f t="shared" ref="Z68" si="62">SUM(Z69:Z70)</f>
        <v>0</v>
      </c>
      <c r="AA68" s="507">
        <f t="shared" si="51"/>
        <v>2</v>
      </c>
    </row>
    <row r="69" spans="1:27" s="345" customFormat="1" ht="69.75" customHeight="1" x14ac:dyDescent="0.25">
      <c r="A69" s="341" t="s">
        <v>530</v>
      </c>
      <c r="B69" s="492" t="s">
        <v>708</v>
      </c>
      <c r="C69" s="390" t="s">
        <v>733</v>
      </c>
      <c r="D69" s="393">
        <f>Ф2!Q72</f>
        <v>7.5743123575620004</v>
      </c>
      <c r="E69" s="704" t="s">
        <v>547</v>
      </c>
      <c r="F69" s="485">
        <f>D69</f>
        <v>7.5743123575620004</v>
      </c>
      <c r="G69" s="485"/>
      <c r="H69" s="485"/>
      <c r="I69" s="485">
        <f>Ф2!CE72</f>
        <v>0</v>
      </c>
      <c r="J69" s="485">
        <f>Ф2!CF72</f>
        <v>0</v>
      </c>
      <c r="K69" s="393">
        <f>Ф4!DE75</f>
        <v>0</v>
      </c>
      <c r="L69" s="398">
        <f>Ф13!E69</f>
        <v>2024</v>
      </c>
      <c r="M69" s="393">
        <f>D69/1.2</f>
        <v>6.3119269646350009</v>
      </c>
      <c r="N69" s="710" t="s">
        <v>552</v>
      </c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>
        <v>1</v>
      </c>
    </row>
    <row r="70" spans="1:27" s="345" customFormat="1" ht="69.75" customHeight="1" x14ac:dyDescent="0.25">
      <c r="A70" s="341" t="s">
        <v>707</v>
      </c>
      <c r="B70" s="492" t="s">
        <v>709</v>
      </c>
      <c r="C70" s="390" t="s">
        <v>734</v>
      </c>
      <c r="D70" s="393">
        <f>Ф2!Q73</f>
        <v>6.1404058122829195</v>
      </c>
      <c r="E70" s="705"/>
      <c r="F70" s="485">
        <f>D70</f>
        <v>6.1404058122829195</v>
      </c>
      <c r="G70" s="485"/>
      <c r="H70" s="485"/>
      <c r="I70" s="485">
        <f>Ф2!CE73</f>
        <v>0</v>
      </c>
      <c r="J70" s="485">
        <f>Ф2!CF73</f>
        <v>0</v>
      </c>
      <c r="K70" s="393">
        <f>Ф4!DE76</f>
        <v>0</v>
      </c>
      <c r="L70" s="398">
        <f>Ф13!E70</f>
        <v>2025</v>
      </c>
      <c r="M70" s="393">
        <f>D70/1.2</f>
        <v>5.1170048435690996</v>
      </c>
      <c r="N70" s="711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>
        <v>1</v>
      </c>
    </row>
    <row r="72" spans="1:27" x14ac:dyDescent="0.25">
      <c r="J72"/>
      <c r="K72" s="55"/>
      <c r="N72" s="55"/>
    </row>
    <row r="73" spans="1:27" x14ac:dyDescent="0.25">
      <c r="M73" s="55"/>
    </row>
    <row r="74" spans="1:27" x14ac:dyDescent="0.25">
      <c r="M74" s="55"/>
    </row>
    <row r="75" spans="1:27" ht="18.75" x14ac:dyDescent="0.25">
      <c r="B75" s="278" t="s">
        <v>77</v>
      </c>
      <c r="C75" s="279"/>
      <c r="D75" s="279"/>
      <c r="E75" s="279" t="s">
        <v>668</v>
      </c>
      <c r="M75" s="55"/>
    </row>
    <row r="76" spans="1:27" ht="18.75" x14ac:dyDescent="0.25">
      <c r="B76" s="278"/>
      <c r="C76" s="279"/>
      <c r="D76" s="279"/>
      <c r="E76" s="279"/>
      <c r="M76" s="55"/>
    </row>
    <row r="77" spans="1:27" ht="18.75" x14ac:dyDescent="0.25">
      <c r="B77" s="278"/>
      <c r="C77" s="279"/>
      <c r="D77" s="279"/>
      <c r="E77" s="279"/>
      <c r="M77" s="55"/>
    </row>
    <row r="78" spans="1:27" x14ac:dyDescent="0.25">
      <c r="M78" s="55"/>
    </row>
    <row r="79" spans="1:27" x14ac:dyDescent="0.25">
      <c r="M79" s="55"/>
    </row>
    <row r="81" spans="1:11" s="41" customFormat="1" x14ac:dyDescent="0.25">
      <c r="A81" s="613" t="s">
        <v>207</v>
      </c>
      <c r="B81" s="613"/>
      <c r="C81" s="613"/>
      <c r="D81" s="613"/>
      <c r="E81" s="613"/>
      <c r="F81" s="613"/>
      <c r="G81" s="613"/>
      <c r="H81" s="613"/>
      <c r="I81" s="613"/>
      <c r="J81" s="613"/>
      <c r="K81" s="613"/>
    </row>
    <row r="82" spans="1:11" s="41" customFormat="1" x14ac:dyDescent="0.25">
      <c r="A82" s="614" t="s">
        <v>208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</row>
    <row r="83" spans="1:11" s="41" customFormat="1" x14ac:dyDescent="0.25">
      <c r="A83" s="614" t="s">
        <v>209</v>
      </c>
      <c r="B83" s="614"/>
      <c r="C83" s="614"/>
      <c r="D83" s="614"/>
      <c r="E83" s="614"/>
      <c r="F83" s="614"/>
      <c r="G83" s="614"/>
      <c r="H83" s="614"/>
      <c r="I83" s="614"/>
      <c r="J83" s="614"/>
      <c r="K83" s="614"/>
    </row>
    <row r="84" spans="1:11" s="41" customFormat="1" x14ac:dyDescent="0.25">
      <c r="A84" s="614" t="s">
        <v>210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</row>
  </sheetData>
  <mergeCells count="33">
    <mergeCell ref="N69:N70"/>
    <mergeCell ref="N44:N45"/>
    <mergeCell ref="O8:O10"/>
    <mergeCell ref="N8:N10"/>
    <mergeCell ref="N50:N54"/>
    <mergeCell ref="L8:M9"/>
    <mergeCell ref="P8:AA8"/>
    <mergeCell ref="P9:Q9"/>
    <mergeCell ref="R9:S9"/>
    <mergeCell ref="T9:U9"/>
    <mergeCell ref="V9:W9"/>
    <mergeCell ref="X9:Y9"/>
    <mergeCell ref="Z9:AA9"/>
    <mergeCell ref="A1:U1"/>
    <mergeCell ref="A3:U3"/>
    <mergeCell ref="A4:U4"/>
    <mergeCell ref="A6:U6"/>
    <mergeCell ref="A7:T7"/>
    <mergeCell ref="A84:K84"/>
    <mergeCell ref="A81:K81"/>
    <mergeCell ref="A82:K82"/>
    <mergeCell ref="A83:K83"/>
    <mergeCell ref="E8:E10"/>
    <mergeCell ref="F8:J9"/>
    <mergeCell ref="K8:K10"/>
    <mergeCell ref="A8:A10"/>
    <mergeCell ref="B8:B10"/>
    <mergeCell ref="C8:C10"/>
    <mergeCell ref="D8:D10"/>
    <mergeCell ref="E37:E39"/>
    <mergeCell ref="E43:E46"/>
    <mergeCell ref="E50:E54"/>
    <mergeCell ref="E69:E70"/>
  </mergeCells>
  <pageMargins left="0.7" right="0.7" top="0.75" bottom="0.75" header="0.3" footer="0.3"/>
  <pageSetup paperSize="9" scale="3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U84"/>
  <sheetViews>
    <sheetView topLeftCell="A4" workbookViewId="0">
      <selection activeCell="F22" sqref="F22"/>
    </sheetView>
  </sheetViews>
  <sheetFormatPr defaultColWidth="9.140625" defaultRowHeight="15" x14ac:dyDescent="0.25"/>
  <cols>
    <col min="1" max="1" width="12" style="66" customWidth="1"/>
    <col min="2" max="2" width="42.7109375" style="67" customWidth="1"/>
    <col min="3" max="3" width="24.42578125" style="67" customWidth="1"/>
    <col min="4" max="4" width="21.42578125" style="67" customWidth="1"/>
    <col min="5" max="5" width="12.42578125" style="67" customWidth="1"/>
    <col min="6" max="6" width="9.7109375" style="67" customWidth="1"/>
    <col min="7" max="7" width="10.85546875" style="67" customWidth="1"/>
    <col min="8" max="8" width="11.140625" style="67" customWidth="1"/>
    <col min="9" max="12" width="10.7109375" style="67" customWidth="1"/>
    <col min="13" max="16384" width="9.140625" style="67"/>
  </cols>
  <sheetData>
    <row r="1" spans="1:21" ht="18.75" x14ac:dyDescent="0.25">
      <c r="G1" s="68" t="s">
        <v>191</v>
      </c>
    </row>
    <row r="2" spans="1:21" ht="18.75" x14ac:dyDescent="0.3">
      <c r="G2" s="69" t="s">
        <v>192</v>
      </c>
    </row>
    <row r="3" spans="1:21" ht="18.75" x14ac:dyDescent="0.3">
      <c r="G3" s="69" t="s">
        <v>193</v>
      </c>
    </row>
    <row r="5" spans="1:21" ht="33" customHeight="1" x14ac:dyDescent="0.25">
      <c r="A5" s="712" t="s">
        <v>194</v>
      </c>
      <c r="B5" s="712"/>
      <c r="C5" s="712"/>
      <c r="D5" s="712"/>
      <c r="E5" s="712"/>
      <c r="F5" s="712"/>
      <c r="G5" s="712"/>
      <c r="H5" s="70"/>
      <c r="I5" s="70"/>
      <c r="J5" s="70"/>
      <c r="K5" s="70"/>
      <c r="L5" s="70"/>
    </row>
    <row r="6" spans="1:21" ht="15.75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1" ht="15.75" x14ac:dyDescent="0.25">
      <c r="A7" s="669" t="s">
        <v>195</v>
      </c>
      <c r="B7" s="669"/>
      <c r="C7" s="669"/>
      <c r="D7" s="669"/>
      <c r="E7" s="669"/>
      <c r="F7" s="669"/>
      <c r="G7" s="669"/>
      <c r="H7" s="73"/>
      <c r="I7" s="73"/>
      <c r="J7" s="73"/>
      <c r="K7" s="73"/>
      <c r="L7" s="73"/>
      <c r="M7" s="74"/>
      <c r="N7" s="74"/>
      <c r="O7" s="74"/>
      <c r="P7" s="74"/>
      <c r="Q7" s="74"/>
      <c r="R7" s="74"/>
      <c r="S7" s="74"/>
      <c r="T7" s="75"/>
      <c r="U7" s="13"/>
    </row>
    <row r="8" spans="1:21" ht="15.75" x14ac:dyDescent="0.25">
      <c r="A8" s="684" t="s">
        <v>2</v>
      </c>
      <c r="B8" s="684"/>
      <c r="C8" s="684"/>
      <c r="D8" s="684"/>
      <c r="E8" s="684"/>
      <c r="F8" s="684"/>
      <c r="G8" s="68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5"/>
      <c r="U8" s="13"/>
    </row>
    <row r="9" spans="1:21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7"/>
      <c r="O9" s="77"/>
      <c r="P9" s="77"/>
      <c r="Q9" s="77"/>
      <c r="R9" s="77"/>
      <c r="S9" s="77"/>
      <c r="T9" s="75"/>
      <c r="U9" s="13"/>
    </row>
    <row r="10" spans="1:21" ht="15.75" x14ac:dyDescent="0.25">
      <c r="A10" s="601" t="s">
        <v>664</v>
      </c>
      <c r="B10" s="601"/>
      <c r="C10" s="601"/>
      <c r="D10" s="601"/>
      <c r="E10" s="601"/>
      <c r="F10" s="601"/>
      <c r="G10" s="601"/>
      <c r="H10" s="78"/>
      <c r="I10" s="78"/>
      <c r="J10" s="78"/>
      <c r="K10" s="78"/>
      <c r="L10" s="78"/>
    </row>
    <row r="11" spans="1:21" s="79" customFormat="1" x14ac:dyDescent="0.25">
      <c r="B11" s="67"/>
      <c r="C11" s="67"/>
      <c r="D11" s="67"/>
      <c r="E11" s="67"/>
      <c r="F11" s="67"/>
      <c r="G11" s="67"/>
      <c r="H11" s="80"/>
    </row>
    <row r="12" spans="1:21" s="81" customFormat="1" ht="34.5" customHeight="1" x14ac:dyDescent="0.25">
      <c r="A12" s="713" t="s">
        <v>196</v>
      </c>
      <c r="B12" s="714" t="s">
        <v>197</v>
      </c>
      <c r="C12" s="714" t="s">
        <v>198</v>
      </c>
      <c r="D12" s="714" t="s">
        <v>199</v>
      </c>
      <c r="E12" s="714" t="s">
        <v>200</v>
      </c>
      <c r="F12" s="714"/>
      <c r="G12" s="714"/>
      <c r="H12" s="714"/>
      <c r="I12" s="714"/>
    </row>
    <row r="13" spans="1:21" s="79" customFormat="1" ht="34.5" customHeight="1" x14ac:dyDescent="0.25">
      <c r="A13" s="713"/>
      <c r="B13" s="714"/>
      <c r="C13" s="714"/>
      <c r="D13" s="714"/>
      <c r="E13" s="82">
        <v>2022</v>
      </c>
      <c r="F13" s="82">
        <v>2023</v>
      </c>
      <c r="G13" s="82">
        <v>2024</v>
      </c>
      <c r="H13" s="82">
        <v>2025</v>
      </c>
      <c r="I13" s="82">
        <v>2026</v>
      </c>
    </row>
    <row r="14" spans="1:21" s="79" customFormat="1" ht="15.75" customHeight="1" x14ac:dyDescent="0.25">
      <c r="A14" s="83">
        <v>1</v>
      </c>
      <c r="B14" s="84">
        <v>2</v>
      </c>
      <c r="C14" s="83">
        <v>3</v>
      </c>
      <c r="D14" s="84">
        <v>4</v>
      </c>
      <c r="E14" s="85" t="s">
        <v>201</v>
      </c>
      <c r="F14" s="85" t="s">
        <v>202</v>
      </c>
      <c r="G14" s="85" t="s">
        <v>203</v>
      </c>
      <c r="H14" s="85" t="s">
        <v>666</v>
      </c>
      <c r="I14" s="85" t="s">
        <v>667</v>
      </c>
    </row>
    <row r="15" spans="1:21" s="13" customFormat="1" ht="93.75" customHeight="1" x14ac:dyDescent="0.2">
      <c r="A15" s="86">
        <v>1</v>
      </c>
      <c r="B15" s="87" t="s">
        <v>204</v>
      </c>
      <c r="C15" s="88" t="s">
        <v>665</v>
      </c>
      <c r="D15" s="263">
        <v>44100</v>
      </c>
      <c r="E15" s="89">
        <v>1.048</v>
      </c>
      <c r="F15" s="89">
        <v>1.0469999999999999</v>
      </c>
      <c r="G15" s="89">
        <v>1.0469999999999999</v>
      </c>
      <c r="H15" s="89">
        <v>1.0469999999999999</v>
      </c>
      <c r="I15" s="89">
        <v>1.0469999999999999</v>
      </c>
    </row>
    <row r="16" spans="1:21" s="13" customFormat="1" ht="74.25" customHeight="1" x14ac:dyDescent="0.25">
      <c r="A16" s="86">
        <v>2</v>
      </c>
      <c r="B16" s="87" t="s">
        <v>205</v>
      </c>
      <c r="C16" s="90" t="s">
        <v>35</v>
      </c>
      <c r="D16" s="90" t="s">
        <v>35</v>
      </c>
      <c r="E16" s="90" t="s">
        <v>35</v>
      </c>
      <c r="F16" s="90" t="s">
        <v>35</v>
      </c>
      <c r="G16" s="90" t="s">
        <v>35</v>
      </c>
      <c r="H16" s="90" t="s">
        <v>35</v>
      </c>
      <c r="I16" s="90" t="s">
        <v>35</v>
      </c>
    </row>
    <row r="17" spans="1:13" s="13" customFormat="1" ht="60" x14ac:dyDescent="0.25">
      <c r="A17" s="86">
        <v>3</v>
      </c>
      <c r="B17" s="87" t="s">
        <v>205</v>
      </c>
      <c r="C17" s="90" t="s">
        <v>35</v>
      </c>
      <c r="D17" s="90" t="s">
        <v>35</v>
      </c>
      <c r="E17" s="90" t="s">
        <v>35</v>
      </c>
      <c r="F17" s="90" t="s">
        <v>35</v>
      </c>
      <c r="G17" s="90" t="s">
        <v>35</v>
      </c>
      <c r="H17" s="90" t="s">
        <v>35</v>
      </c>
      <c r="I17" s="90" t="s">
        <v>35</v>
      </c>
    </row>
    <row r="18" spans="1:13" s="13" customFormat="1" x14ac:dyDescent="0.25">
      <c r="A18" s="91" t="s">
        <v>206</v>
      </c>
      <c r="B18" s="87" t="s">
        <v>206</v>
      </c>
      <c r="C18" s="87"/>
      <c r="D18" s="87"/>
      <c r="E18" s="92"/>
      <c r="F18" s="92"/>
      <c r="G18" s="92"/>
      <c r="H18" s="415"/>
      <c r="I18" s="415"/>
    </row>
    <row r="19" spans="1:13" s="13" customFormat="1" x14ac:dyDescent="0.25">
      <c r="A19" s="93"/>
      <c r="B19" s="94"/>
      <c r="C19" s="94"/>
      <c r="D19" s="94"/>
      <c r="E19" s="94"/>
      <c r="F19" s="94"/>
      <c r="G19" s="94"/>
      <c r="H19" s="95"/>
      <c r="I19" s="96"/>
      <c r="J19" s="96"/>
      <c r="K19" s="96"/>
      <c r="L19" s="96"/>
      <c r="M19" s="67"/>
    </row>
    <row r="20" spans="1:13" s="13" customFormat="1" x14ac:dyDescent="0.25">
      <c r="A20" s="93"/>
    </row>
    <row r="21" spans="1:13" s="13" customFormat="1" ht="15.75" x14ac:dyDescent="0.25">
      <c r="A21" s="12" t="s">
        <v>77</v>
      </c>
      <c r="D21" s="13" t="s">
        <v>668</v>
      </c>
      <c r="E21" s="41"/>
    </row>
    <row r="22" spans="1:13" s="13" customFormat="1" x14ac:dyDescent="0.25">
      <c r="A22" s="93"/>
      <c r="H22" s="97"/>
      <c r="I22" s="98"/>
      <c r="J22" s="98"/>
      <c r="K22" s="98"/>
      <c r="L22" s="98"/>
      <c r="M22" s="99"/>
    </row>
    <row r="23" spans="1:13" s="13" customFormat="1" x14ac:dyDescent="0.25">
      <c r="A23" s="93"/>
      <c r="H23" s="97"/>
      <c r="I23" s="98"/>
      <c r="J23" s="98"/>
      <c r="K23" s="98"/>
      <c r="L23" s="98"/>
      <c r="M23" s="100"/>
    </row>
    <row r="24" spans="1:13" s="13" customFormat="1" x14ac:dyDescent="0.25">
      <c r="A24" s="93"/>
      <c r="H24" s="101"/>
      <c r="I24" s="101"/>
      <c r="J24" s="101"/>
      <c r="K24" s="101"/>
      <c r="L24" s="101"/>
      <c r="M24" s="102"/>
    </row>
    <row r="25" spans="1:13" s="13" customFormat="1" ht="15.75" x14ac:dyDescent="0.25">
      <c r="A25" s="93"/>
      <c r="B25" s="103"/>
      <c r="C25" s="103"/>
      <c r="D25" s="103"/>
      <c r="E25" s="103"/>
      <c r="F25" s="103"/>
      <c r="G25" s="103"/>
      <c r="H25" s="104"/>
      <c r="I25" s="105"/>
      <c r="J25" s="105"/>
      <c r="K25" s="105"/>
      <c r="L25" s="105"/>
      <c r="M25" s="102"/>
    </row>
    <row r="26" spans="1:13" s="13" customFormat="1" ht="15.75" x14ac:dyDescent="0.25">
      <c r="A26" s="93"/>
      <c r="B26" s="106"/>
      <c r="C26" s="106"/>
      <c r="D26" s="106"/>
      <c r="E26" s="106"/>
      <c r="F26" s="106"/>
      <c r="G26" s="106"/>
      <c r="H26" s="107"/>
      <c r="I26" s="105"/>
      <c r="J26" s="105"/>
      <c r="K26" s="105"/>
      <c r="L26" s="105"/>
      <c r="M26" s="102"/>
    </row>
    <row r="27" spans="1:13" ht="15.75" x14ac:dyDescent="0.25">
      <c r="H27" s="108"/>
      <c r="I27" s="105"/>
      <c r="J27" s="105"/>
      <c r="K27" s="105"/>
      <c r="L27" s="105"/>
      <c r="M27" s="102"/>
    </row>
    <row r="28" spans="1:13" x14ac:dyDescent="0.25">
      <c r="H28" s="108"/>
      <c r="I28" s="103"/>
      <c r="J28" s="103"/>
      <c r="K28" s="103"/>
      <c r="L28" s="103"/>
      <c r="M28" s="102"/>
    </row>
    <row r="29" spans="1:13" x14ac:dyDescent="0.25">
      <c r="H29" s="108"/>
      <c r="I29" s="103"/>
      <c r="J29" s="103"/>
      <c r="K29" s="103"/>
      <c r="L29" s="103"/>
      <c r="M29" s="102"/>
    </row>
    <row r="30" spans="1:13" x14ac:dyDescent="0.25">
      <c r="H30" s="108"/>
      <c r="I30" s="103"/>
      <c r="J30" s="103"/>
      <c r="K30" s="103"/>
      <c r="L30" s="103"/>
      <c r="M30" s="102"/>
    </row>
    <row r="31" spans="1:13" x14ac:dyDescent="0.25">
      <c r="H31" s="108"/>
      <c r="I31" s="103"/>
      <c r="J31" s="103"/>
      <c r="K31" s="103"/>
      <c r="L31" s="103"/>
      <c r="M31" s="102"/>
    </row>
    <row r="32" spans="1:13" x14ac:dyDescent="0.25">
      <c r="H32" s="108"/>
      <c r="I32" s="103"/>
      <c r="J32" s="103"/>
      <c r="K32" s="103"/>
      <c r="L32" s="103"/>
      <c r="M32" s="102"/>
    </row>
    <row r="33" spans="8:13" x14ac:dyDescent="0.25">
      <c r="H33" s="108"/>
      <c r="I33" s="103"/>
      <c r="J33" s="103"/>
      <c r="K33" s="103"/>
      <c r="L33" s="103"/>
      <c r="M33" s="102"/>
    </row>
    <row r="34" spans="8:13" x14ac:dyDescent="0.25">
      <c r="H34" s="108"/>
      <c r="I34" s="103"/>
      <c r="J34" s="103"/>
      <c r="K34" s="103"/>
      <c r="L34" s="103"/>
      <c r="M34" s="102"/>
    </row>
    <row r="35" spans="8:13" x14ac:dyDescent="0.25">
      <c r="H35" s="108"/>
      <c r="I35" s="103"/>
      <c r="J35" s="103"/>
      <c r="K35" s="103"/>
      <c r="L35" s="103"/>
      <c r="M35" s="102"/>
    </row>
    <row r="36" spans="8:13" x14ac:dyDescent="0.25">
      <c r="H36" s="108"/>
      <c r="I36" s="103"/>
      <c r="J36" s="103"/>
      <c r="K36" s="103"/>
      <c r="L36" s="103"/>
      <c r="M36" s="102"/>
    </row>
    <row r="37" spans="8:13" x14ac:dyDescent="0.25">
      <c r="H37" s="108"/>
      <c r="I37" s="103"/>
      <c r="J37" s="103"/>
      <c r="K37" s="103"/>
      <c r="L37" s="103"/>
      <c r="M37" s="102"/>
    </row>
    <row r="38" spans="8:13" x14ac:dyDescent="0.25">
      <c r="H38" s="108"/>
      <c r="I38" s="103"/>
      <c r="J38" s="103"/>
      <c r="K38" s="103"/>
      <c r="L38" s="103"/>
      <c r="M38" s="102"/>
    </row>
    <row r="39" spans="8:13" x14ac:dyDescent="0.25">
      <c r="H39" s="108"/>
      <c r="I39" s="103"/>
      <c r="J39" s="103"/>
      <c r="K39" s="103"/>
      <c r="L39" s="103"/>
      <c r="M39" s="102"/>
    </row>
    <row r="40" spans="8:13" x14ac:dyDescent="0.25">
      <c r="H40" s="108"/>
      <c r="I40" s="103"/>
      <c r="J40" s="103"/>
      <c r="K40" s="103"/>
      <c r="L40" s="103"/>
      <c r="M40" s="102"/>
    </row>
    <row r="41" spans="8:13" x14ac:dyDescent="0.25">
      <c r="H41" s="108"/>
      <c r="I41" s="103"/>
      <c r="J41" s="103"/>
      <c r="K41" s="103"/>
      <c r="L41" s="103"/>
      <c r="M41" s="102"/>
    </row>
    <row r="42" spans="8:13" x14ac:dyDescent="0.25">
      <c r="H42" s="108"/>
      <c r="I42" s="103"/>
      <c r="J42" s="103"/>
      <c r="K42" s="103"/>
      <c r="L42" s="103"/>
      <c r="M42" s="102"/>
    </row>
    <row r="43" spans="8:13" x14ac:dyDescent="0.25">
      <c r="H43" s="108"/>
      <c r="I43" s="103"/>
      <c r="J43" s="103"/>
      <c r="K43" s="103"/>
      <c r="L43" s="103"/>
      <c r="M43" s="102"/>
    </row>
    <row r="44" spans="8:13" x14ac:dyDescent="0.25">
      <c r="H44" s="108"/>
      <c r="I44" s="103"/>
      <c r="J44" s="103"/>
      <c r="K44" s="103"/>
      <c r="L44" s="103"/>
      <c r="M44" s="102"/>
    </row>
    <row r="45" spans="8:13" x14ac:dyDescent="0.25">
      <c r="H45" s="108"/>
      <c r="I45" s="103"/>
      <c r="J45" s="103"/>
      <c r="K45" s="103"/>
      <c r="L45" s="103"/>
      <c r="M45" s="102"/>
    </row>
    <row r="46" spans="8:13" ht="15.75" x14ac:dyDescent="0.25">
      <c r="H46" s="108"/>
      <c r="I46" s="105"/>
      <c r="J46" s="105"/>
      <c r="K46" s="105"/>
      <c r="L46" s="105"/>
      <c r="M46" s="102"/>
    </row>
    <row r="47" spans="8:13" ht="15.75" x14ac:dyDescent="0.25">
      <c r="H47" s="108"/>
      <c r="I47" s="105"/>
      <c r="J47" s="105"/>
      <c r="K47" s="105"/>
      <c r="L47" s="105"/>
      <c r="M47" s="102"/>
    </row>
    <row r="48" spans="8:13" ht="15.75" x14ac:dyDescent="0.25">
      <c r="H48" s="108"/>
      <c r="I48" s="105"/>
      <c r="J48" s="105"/>
      <c r="K48" s="105"/>
      <c r="L48" s="105"/>
      <c r="M48" s="102"/>
    </row>
    <row r="49" spans="1:13" ht="15.75" x14ac:dyDescent="0.25">
      <c r="H49" s="108"/>
      <c r="I49" s="105"/>
      <c r="J49" s="105"/>
      <c r="K49" s="105"/>
      <c r="L49" s="105"/>
      <c r="M49" s="102"/>
    </row>
    <row r="50" spans="1:13" ht="15.75" x14ac:dyDescent="0.25">
      <c r="H50" s="108"/>
      <c r="I50" s="105"/>
      <c r="J50" s="105"/>
      <c r="K50" s="105"/>
      <c r="L50" s="105"/>
      <c r="M50" s="102"/>
    </row>
    <row r="51" spans="1:13" s="13" customFormat="1" x14ac:dyDescent="0.25">
      <c r="A51" s="93"/>
    </row>
    <row r="52" spans="1:13" s="13" customFormat="1" x14ac:dyDescent="0.25">
      <c r="A52" s="93"/>
    </row>
    <row r="53" spans="1:13" s="13" customFormat="1" x14ac:dyDescent="0.25">
      <c r="A53" s="93"/>
    </row>
    <row r="54" spans="1:13" s="13" customFormat="1" x14ac:dyDescent="0.25">
      <c r="A54" s="93"/>
    </row>
    <row r="55" spans="1:13" ht="15.75" x14ac:dyDescent="0.25">
      <c r="H55" s="108"/>
      <c r="I55" s="105"/>
      <c r="J55" s="105"/>
      <c r="K55" s="105"/>
      <c r="L55" s="105"/>
      <c r="M55" s="102"/>
    </row>
    <row r="56" spans="1:13" ht="15.75" x14ac:dyDescent="0.25">
      <c r="H56" s="108"/>
      <c r="I56" s="105"/>
      <c r="J56" s="105"/>
      <c r="K56" s="105"/>
      <c r="L56" s="105"/>
      <c r="M56" s="102"/>
    </row>
    <row r="57" spans="1:13" ht="15.75" x14ac:dyDescent="0.25">
      <c r="H57" s="108"/>
      <c r="I57" s="105"/>
      <c r="J57" s="105"/>
      <c r="K57" s="105"/>
      <c r="L57" s="105"/>
      <c r="M57" s="102"/>
    </row>
    <row r="58" spans="1:13" ht="15.75" x14ac:dyDescent="0.25">
      <c r="H58" s="108"/>
      <c r="I58" s="105"/>
      <c r="J58" s="105"/>
      <c r="K58" s="105"/>
      <c r="L58" s="105"/>
      <c r="M58" s="102"/>
    </row>
    <row r="59" spans="1:13" ht="15.75" x14ac:dyDescent="0.25">
      <c r="H59" s="108"/>
      <c r="I59" s="105"/>
      <c r="J59" s="105"/>
      <c r="K59" s="105"/>
      <c r="L59" s="105"/>
      <c r="M59" s="102"/>
    </row>
    <row r="60" spans="1:13" ht="15.75" x14ac:dyDescent="0.25">
      <c r="H60" s="108"/>
      <c r="I60" s="105"/>
      <c r="J60" s="105"/>
      <c r="K60" s="105"/>
      <c r="L60" s="105"/>
      <c r="M60" s="102"/>
    </row>
    <row r="61" spans="1:13" ht="15.75" x14ac:dyDescent="0.25">
      <c r="H61" s="108"/>
      <c r="I61" s="105"/>
      <c r="J61" s="105"/>
      <c r="K61" s="105"/>
      <c r="L61" s="105"/>
      <c r="M61" s="102"/>
    </row>
    <row r="62" spans="1:13" ht="15.75" x14ac:dyDescent="0.25">
      <c r="H62" s="108"/>
      <c r="I62" s="105"/>
      <c r="J62" s="105"/>
      <c r="K62" s="105"/>
      <c r="L62" s="105"/>
      <c r="M62" s="102"/>
    </row>
    <row r="63" spans="1:13" ht="15.75" x14ac:dyDescent="0.25">
      <c r="H63" s="108"/>
      <c r="I63" s="105"/>
      <c r="J63" s="105"/>
      <c r="K63" s="105"/>
      <c r="L63" s="105"/>
      <c r="M63" s="102"/>
    </row>
    <row r="64" spans="1:13" ht="15.75" x14ac:dyDescent="0.25">
      <c r="H64" s="108"/>
      <c r="I64" s="105"/>
      <c r="J64" s="105"/>
      <c r="K64" s="105"/>
      <c r="L64" s="105"/>
      <c r="M64" s="102"/>
    </row>
    <row r="65" spans="1:13" ht="15.75" x14ac:dyDescent="0.25">
      <c r="H65" s="108"/>
      <c r="I65" s="105"/>
      <c r="J65" s="105"/>
      <c r="K65" s="105"/>
      <c r="L65" s="105"/>
      <c r="M65" s="102"/>
    </row>
    <row r="66" spans="1:13" ht="15.75" x14ac:dyDescent="0.25">
      <c r="H66" s="108"/>
      <c r="I66" s="105"/>
      <c r="J66" s="105"/>
      <c r="K66" s="105"/>
      <c r="L66" s="105"/>
      <c r="M66" s="102"/>
    </row>
    <row r="67" spans="1:13" ht="15.75" x14ac:dyDescent="0.25">
      <c r="H67" s="108"/>
      <c r="I67" s="105"/>
      <c r="J67" s="105"/>
      <c r="K67" s="105"/>
      <c r="L67" s="105"/>
      <c r="M67" s="102"/>
    </row>
    <row r="68" spans="1:13" ht="15.75" x14ac:dyDescent="0.25">
      <c r="H68" s="108"/>
      <c r="I68" s="105"/>
      <c r="J68" s="105"/>
      <c r="K68" s="105"/>
      <c r="L68" s="105"/>
      <c r="M68" s="102"/>
    </row>
    <row r="69" spans="1:13" ht="15.75" x14ac:dyDescent="0.25">
      <c r="H69" s="108"/>
      <c r="I69" s="105"/>
      <c r="J69" s="105"/>
      <c r="K69" s="105"/>
      <c r="L69" s="105"/>
      <c r="M69" s="102"/>
    </row>
    <row r="70" spans="1:13" ht="15.75" x14ac:dyDescent="0.25">
      <c r="H70" s="108"/>
      <c r="I70" s="105"/>
      <c r="J70" s="105"/>
      <c r="K70" s="105"/>
      <c r="L70" s="105"/>
      <c r="M70" s="102"/>
    </row>
    <row r="71" spans="1:13" ht="15.75" x14ac:dyDescent="0.25">
      <c r="H71" s="108"/>
      <c r="I71" s="105"/>
      <c r="J71" s="105"/>
      <c r="K71" s="105"/>
      <c r="L71" s="105"/>
      <c r="M71" s="102"/>
    </row>
    <row r="72" spans="1:13" ht="15.75" x14ac:dyDescent="0.25">
      <c r="H72" s="108"/>
      <c r="I72" s="105"/>
      <c r="J72" s="105"/>
      <c r="K72" s="105"/>
      <c r="L72" s="105"/>
      <c r="M72" s="102"/>
    </row>
    <row r="73" spans="1:13" ht="15.75" x14ac:dyDescent="0.25">
      <c r="H73" s="108"/>
      <c r="I73" s="105"/>
      <c r="J73" s="105"/>
      <c r="K73" s="105"/>
      <c r="L73" s="105"/>
      <c r="M73" s="102"/>
    </row>
    <row r="74" spans="1:13" ht="15.75" x14ac:dyDescent="0.25">
      <c r="H74" s="108"/>
      <c r="I74" s="105"/>
      <c r="J74" s="105"/>
      <c r="K74" s="105"/>
      <c r="L74" s="105"/>
      <c r="M74" s="102"/>
    </row>
    <row r="75" spans="1:13" s="13" customFormat="1" x14ac:dyDescent="0.25">
      <c r="A75" s="93"/>
    </row>
    <row r="76" spans="1:13" ht="15.75" x14ac:dyDescent="0.25">
      <c r="H76" s="108"/>
      <c r="I76" s="105"/>
      <c r="J76" s="105"/>
      <c r="K76" s="105"/>
      <c r="L76" s="105"/>
      <c r="M76" s="102"/>
    </row>
    <row r="77" spans="1:13" x14ac:dyDescent="0.25">
      <c r="H77" s="109"/>
      <c r="I77" s="110"/>
      <c r="J77" s="110"/>
      <c r="K77" s="110"/>
      <c r="L77" s="110"/>
      <c r="M77" s="111"/>
    </row>
    <row r="78" spans="1:13" x14ac:dyDescent="0.25">
      <c r="B78" s="112"/>
      <c r="C78" s="112"/>
      <c r="D78" s="112"/>
      <c r="E78" s="112"/>
      <c r="F78" s="112"/>
      <c r="G78" s="112"/>
      <c r="H78" s="109"/>
      <c r="I78" s="110"/>
      <c r="J78" s="110"/>
      <c r="K78" s="110"/>
      <c r="L78" s="110"/>
      <c r="M78" s="111"/>
    </row>
    <row r="79" spans="1:13" s="66" customFormat="1" x14ac:dyDescent="0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4" s="66" customFormat="1" x14ac:dyDescent="0.25"/>
  </sheetData>
  <mergeCells count="9">
    <mergeCell ref="A5:G5"/>
    <mergeCell ref="A7:G7"/>
    <mergeCell ref="A8:G8"/>
    <mergeCell ref="A10:G10"/>
    <mergeCell ref="A12:A13"/>
    <mergeCell ref="B12:B13"/>
    <mergeCell ref="C12:C13"/>
    <mergeCell ref="D12:D13"/>
    <mergeCell ref="E12:I12"/>
  </mergeCells>
  <pageMargins left="0.7" right="0.7" top="0.75" bottom="0.75" header="0.3" footer="0.3"/>
  <pageSetup paperSize="9" scale="6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33"/>
  <sheetViews>
    <sheetView workbookViewId="0">
      <selection activeCell="I18" sqref="I18"/>
    </sheetView>
  </sheetViews>
  <sheetFormatPr defaultColWidth="8.85546875" defaultRowHeight="15" x14ac:dyDescent="0.25"/>
  <cols>
    <col min="2" max="2" width="59.28515625" bestFit="1" customWidth="1"/>
    <col min="3" max="3" width="11.28515625" bestFit="1" customWidth="1"/>
    <col min="4" max="4" width="13.28515625" bestFit="1" customWidth="1"/>
    <col min="5" max="5" width="11.42578125" customWidth="1"/>
    <col min="6" max="6" width="10.42578125" customWidth="1"/>
    <col min="7" max="8" width="10.140625" customWidth="1"/>
  </cols>
  <sheetData>
    <row r="1" spans="1:54" s="245" customFormat="1" ht="15.75" x14ac:dyDescent="0.25">
      <c r="A1" s="717" t="s">
        <v>505</v>
      </c>
      <c r="B1" s="717"/>
      <c r="C1" s="717"/>
      <c r="D1" s="717"/>
      <c r="E1" s="717"/>
      <c r="F1" s="717"/>
      <c r="L1" s="41"/>
      <c r="M1" s="246"/>
      <c r="N1" s="41"/>
      <c r="O1" s="41"/>
      <c r="P1" s="41"/>
      <c r="Q1" s="41"/>
      <c r="R1" s="41"/>
      <c r="S1" s="41"/>
      <c r="T1" s="41"/>
      <c r="U1" s="41"/>
      <c r="V1" s="41"/>
    </row>
    <row r="2" spans="1:54" s="245" customFormat="1" ht="15.75" x14ac:dyDescent="0.25">
      <c r="G2" s="41"/>
      <c r="H2" s="41"/>
      <c r="I2" s="41"/>
      <c r="J2" s="41"/>
      <c r="K2" s="41"/>
      <c r="L2" s="41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41"/>
      <c r="AB2" s="169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54" s="245" customFormat="1" ht="15.75" x14ac:dyDescent="0.25">
      <c r="A3" s="669" t="s">
        <v>506</v>
      </c>
      <c r="B3" s="669"/>
      <c r="C3" s="669"/>
      <c r="D3" s="669"/>
      <c r="E3" s="669"/>
      <c r="F3" s="669"/>
      <c r="G3" s="74"/>
      <c r="H3" s="74"/>
      <c r="I3" s="74"/>
      <c r="J3" s="74"/>
      <c r="K3" s="74"/>
      <c r="L3" s="74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41"/>
      <c r="AB3" s="169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54" s="245" customFormat="1" ht="15.75" x14ac:dyDescent="0.25">
      <c r="A4" s="669" t="s">
        <v>2</v>
      </c>
      <c r="B4" s="669"/>
      <c r="C4" s="669"/>
      <c r="D4" s="669"/>
      <c r="E4" s="669"/>
      <c r="F4" s="669"/>
      <c r="G4" s="73"/>
      <c r="H4" s="73"/>
      <c r="I4" s="73"/>
      <c r="J4" s="73"/>
      <c r="K4" s="73"/>
      <c r="L4" s="73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41"/>
      <c r="AB4" s="169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54" s="245" customFormat="1" ht="15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41"/>
      <c r="AB5" s="169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54" s="245" customFormat="1" ht="15.75" x14ac:dyDescent="0.25">
      <c r="A6" s="601" t="s">
        <v>785</v>
      </c>
      <c r="B6" s="601"/>
      <c r="C6" s="601"/>
      <c r="D6" s="601"/>
      <c r="E6" s="601"/>
      <c r="F6" s="601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</row>
    <row r="7" spans="1:54" s="245" customFormat="1" ht="15" customHeight="1" x14ac:dyDescent="0.25">
      <c r="A7" s="166"/>
      <c r="B7" s="166"/>
      <c r="C7" s="166"/>
      <c r="D7" s="166"/>
      <c r="E7" s="166"/>
      <c r="F7" s="166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</row>
    <row r="8" spans="1:54" s="245" customFormat="1" ht="18" customHeight="1" x14ac:dyDescent="0.25">
      <c r="A8" s="642" t="s">
        <v>507</v>
      </c>
      <c r="B8" s="642"/>
      <c r="C8" s="642"/>
      <c r="D8" s="642"/>
      <c r="E8" s="642"/>
      <c r="F8" s="642"/>
      <c r="G8" s="247"/>
      <c r="H8" s="247"/>
      <c r="I8" s="247"/>
      <c r="J8" s="247"/>
      <c r="K8" s="24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</row>
    <row r="9" spans="1:54" s="245" customFormat="1" ht="13.5" customHeight="1" x14ac:dyDescent="0.25">
      <c r="A9" s="171"/>
      <c r="B9" s="171"/>
      <c r="C9" s="171"/>
      <c r="D9" s="171"/>
      <c r="E9" s="171"/>
      <c r="F9" s="171"/>
      <c r="G9" s="247"/>
      <c r="H9" s="247"/>
      <c r="I9" s="247"/>
      <c r="J9" s="247"/>
      <c r="K9" s="247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</row>
    <row r="10" spans="1:54" s="245" customFormat="1" ht="36" customHeight="1" x14ac:dyDescent="0.25">
      <c r="A10" s="715" t="s">
        <v>196</v>
      </c>
      <c r="B10" s="716" t="s">
        <v>508</v>
      </c>
      <c r="C10" s="716" t="s">
        <v>509</v>
      </c>
      <c r="D10" s="718" t="s">
        <v>510</v>
      </c>
      <c r="E10" s="719"/>
      <c r="F10" s="719"/>
      <c r="G10" s="719"/>
      <c r="H10" s="720"/>
      <c r="I10" s="248"/>
      <c r="J10" s="248"/>
      <c r="K10" s="248"/>
      <c r="L10" s="248"/>
      <c r="M10" s="248"/>
      <c r="N10" s="249"/>
      <c r="O10" s="249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54" s="245" customFormat="1" ht="15.75" x14ac:dyDescent="0.25">
      <c r="A11" s="715"/>
      <c r="B11" s="716"/>
      <c r="C11" s="716"/>
      <c r="D11" s="250" t="s">
        <v>748</v>
      </c>
      <c r="E11" s="446" t="s">
        <v>749</v>
      </c>
      <c r="F11" s="446" t="s">
        <v>750</v>
      </c>
      <c r="G11" s="446" t="s">
        <v>751</v>
      </c>
      <c r="H11" s="446" t="s">
        <v>752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54" s="245" customFormat="1" ht="15.75" x14ac:dyDescent="0.25">
      <c r="A12" s="251">
        <v>1</v>
      </c>
      <c r="B12" s="250">
        <v>2</v>
      </c>
      <c r="C12" s="251">
        <v>3</v>
      </c>
      <c r="D12" s="251">
        <v>5</v>
      </c>
      <c r="E12" s="250">
        <v>6</v>
      </c>
      <c r="F12" s="252"/>
      <c r="G12" s="252"/>
      <c r="H12" s="252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54" s="245" customFormat="1" ht="47.25" x14ac:dyDescent="0.25">
      <c r="A13" s="251">
        <v>1</v>
      </c>
      <c r="B13" s="253" t="s">
        <v>511</v>
      </c>
      <c r="C13" s="254"/>
      <c r="D13" s="255"/>
      <c r="E13" s="256"/>
      <c r="F13" s="256"/>
      <c r="G13" s="252"/>
      <c r="H13" s="252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54" s="245" customFormat="1" ht="47.25" x14ac:dyDescent="0.25">
      <c r="A14" s="257" t="s">
        <v>512</v>
      </c>
      <c r="B14" s="253" t="s">
        <v>513</v>
      </c>
      <c r="C14" s="258" t="s">
        <v>514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54" s="259" customFormat="1" ht="78.75" x14ac:dyDescent="0.25">
      <c r="A15" s="257">
        <v>2</v>
      </c>
      <c r="B15" s="253" t="s">
        <v>515</v>
      </c>
      <c r="C15" s="254"/>
      <c r="D15" s="256"/>
      <c r="E15" s="256"/>
      <c r="F15" s="405"/>
      <c r="G15" s="509"/>
      <c r="H15" s="509"/>
    </row>
    <row r="16" spans="1:54" s="259" customFormat="1" ht="15.75" x14ac:dyDescent="0.25">
      <c r="A16" s="257" t="s">
        <v>516</v>
      </c>
      <c r="B16" s="253" t="s">
        <v>517</v>
      </c>
      <c r="C16" s="254" t="s">
        <v>518</v>
      </c>
      <c r="D16" s="597">
        <v>0</v>
      </c>
      <c r="E16" s="598">
        <v>0</v>
      </c>
      <c r="F16" s="598">
        <v>0</v>
      </c>
      <c r="G16" s="599"/>
      <c r="H16" s="599"/>
    </row>
    <row r="17" spans="1:11" s="245" customFormat="1" ht="15.75" x14ac:dyDescent="0.25">
      <c r="A17" s="257" t="s">
        <v>519</v>
      </c>
      <c r="B17" s="253" t="s">
        <v>520</v>
      </c>
      <c r="C17" s="260" t="s">
        <v>521</v>
      </c>
      <c r="D17" s="597">
        <v>10</v>
      </c>
      <c r="E17" s="598">
        <v>0</v>
      </c>
      <c r="F17" s="598">
        <v>0</v>
      </c>
      <c r="G17" s="215"/>
      <c r="H17" s="215"/>
    </row>
    <row r="18" spans="1:11" s="245" customFormat="1" ht="47.25" x14ac:dyDescent="0.25">
      <c r="A18" s="257" t="s">
        <v>522</v>
      </c>
      <c r="B18" s="253" t="s">
        <v>523</v>
      </c>
      <c r="C18" s="258" t="s">
        <v>514</v>
      </c>
      <c r="D18" s="258">
        <v>0</v>
      </c>
      <c r="E18" s="258">
        <f>3.95-2.651</f>
        <v>1.2990000000000004</v>
      </c>
      <c r="F18" s="406">
        <v>1.5669999999999999</v>
      </c>
      <c r="G18" s="252">
        <v>0</v>
      </c>
      <c r="H18" s="252">
        <v>0</v>
      </c>
    </row>
    <row r="19" spans="1:11" s="245" customFormat="1" ht="63" x14ac:dyDescent="0.25">
      <c r="A19" s="257" t="s">
        <v>657</v>
      </c>
      <c r="B19" s="376" t="s">
        <v>564</v>
      </c>
      <c r="C19" s="260" t="s">
        <v>658</v>
      </c>
      <c r="D19" s="252"/>
      <c r="E19" s="252"/>
      <c r="F19" s="215"/>
      <c r="G19" s="252"/>
      <c r="H19" s="252"/>
    </row>
    <row r="20" spans="1:11" s="245" customFormat="1" ht="15.75" x14ac:dyDescent="0.25">
      <c r="A20" s="257" t="s">
        <v>657</v>
      </c>
      <c r="B20" s="252" t="s">
        <v>786</v>
      </c>
      <c r="C20" s="260" t="s">
        <v>658</v>
      </c>
      <c r="D20" s="319">
        <v>347</v>
      </c>
      <c r="E20" s="319">
        <v>287</v>
      </c>
      <c r="F20" s="319">
        <v>171</v>
      </c>
      <c r="G20" s="319">
        <v>201</v>
      </c>
      <c r="H20" s="319">
        <v>213</v>
      </c>
      <c r="K20" s="261"/>
    </row>
    <row r="21" spans="1:11" s="245" customFormat="1" ht="15.75" x14ac:dyDescent="0.25">
      <c r="K21" s="261"/>
    </row>
    <row r="22" spans="1:11" s="245" customFormat="1" ht="15.75" x14ac:dyDescent="0.25">
      <c r="K22" s="261"/>
    </row>
    <row r="23" spans="1:11" s="13" customFormat="1" x14ac:dyDescent="0.25">
      <c r="A23" s="12" t="s">
        <v>77</v>
      </c>
      <c r="D23" s="13" t="s">
        <v>78</v>
      </c>
    </row>
    <row r="24" spans="1:11" s="245" customFormat="1" ht="15.75" x14ac:dyDescent="0.25"/>
    <row r="25" spans="1:11" s="245" customFormat="1" ht="15.75" x14ac:dyDescent="0.25"/>
    <row r="26" spans="1:11" s="245" customFormat="1" ht="15.75" x14ac:dyDescent="0.25"/>
    <row r="27" spans="1:11" s="245" customFormat="1" ht="15.75" x14ac:dyDescent="0.25"/>
    <row r="28" spans="1:11" s="245" customFormat="1" ht="15.75" x14ac:dyDescent="0.25"/>
    <row r="29" spans="1:11" s="245" customFormat="1" ht="15.75" x14ac:dyDescent="0.25"/>
    <row r="30" spans="1:11" s="245" customFormat="1" ht="15.75" x14ac:dyDescent="0.25"/>
    <row r="31" spans="1:11" s="245" customFormat="1" ht="15.75" x14ac:dyDescent="0.25"/>
    <row r="32" spans="1:11" s="245" customFormat="1" ht="15.75" x14ac:dyDescent="0.25"/>
    <row r="33" s="245" customFormat="1" ht="15.75" x14ac:dyDescent="0.25"/>
  </sheetData>
  <mergeCells count="9">
    <mergeCell ref="A10:A11"/>
    <mergeCell ref="B10:B11"/>
    <mergeCell ref="C10:C11"/>
    <mergeCell ref="A1:F1"/>
    <mergeCell ref="A3:F3"/>
    <mergeCell ref="A4:F4"/>
    <mergeCell ref="A6:F6"/>
    <mergeCell ref="A8:F8"/>
    <mergeCell ref="D10:H10"/>
  </mergeCells>
  <pageMargins left="0.7" right="0.7" top="0.75" bottom="0.75" header="0.3" footer="0.3"/>
  <pageSetup paperSize="9" scale="7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57"/>
  <sheetViews>
    <sheetView view="pageBreakPreview" topLeftCell="A370" zoomScale="130" zoomScaleNormal="120" workbookViewId="0">
      <selection activeCell="L378" sqref="L378"/>
    </sheetView>
  </sheetViews>
  <sheetFormatPr defaultRowHeight="8.25" x14ac:dyDescent="0.15"/>
  <cols>
    <col min="1" max="1" width="1.42578125" style="513" customWidth="1"/>
    <col min="2" max="2" width="3.42578125" style="513" customWidth="1"/>
    <col min="3" max="3" width="11.42578125" style="513" customWidth="1"/>
    <col min="4" max="4" width="7.28515625" style="513" customWidth="1"/>
    <col min="5" max="5" width="14" style="513" customWidth="1"/>
    <col min="6" max="6" width="6.42578125" style="513" customWidth="1"/>
    <col min="7" max="7" width="4.5703125" style="513" customWidth="1"/>
    <col min="8" max="8" width="6.140625" style="514" customWidth="1"/>
    <col min="9" max="10" width="4.7109375" style="514" customWidth="1"/>
    <col min="11" max="11" width="5.140625" style="514" customWidth="1"/>
    <col min="12" max="12" width="8.5703125" style="514" customWidth="1"/>
    <col min="13" max="13" width="9.5703125" style="514" customWidth="1"/>
    <col min="14" max="14" width="8.7109375" style="514" customWidth="1"/>
    <col min="15" max="15" width="9.28515625" style="514" customWidth="1"/>
    <col min="16" max="16" width="8.7109375" style="514" customWidth="1"/>
    <col min="17" max="17" width="9.28515625" style="514" customWidth="1"/>
    <col min="18" max="18" width="8.7109375" style="514" customWidth="1"/>
    <col min="19" max="19" width="9.28515625" style="514" customWidth="1"/>
    <col min="20" max="20" width="8.7109375" style="514" customWidth="1"/>
    <col min="21" max="21" width="9.28515625" style="514" customWidth="1"/>
    <col min="22" max="22" width="8.7109375" style="514" customWidth="1"/>
    <col min="23" max="23" width="9.28515625" style="514" customWidth="1"/>
    <col min="24" max="260" width="9.140625" style="513"/>
    <col min="261" max="261" width="1.42578125" style="513" customWidth="1"/>
    <col min="262" max="262" width="3.42578125" style="513" customWidth="1"/>
    <col min="263" max="263" width="11.42578125" style="513" customWidth="1"/>
    <col min="264" max="264" width="7.28515625" style="513" customWidth="1"/>
    <col min="265" max="265" width="14" style="513" customWidth="1"/>
    <col min="266" max="266" width="6.42578125" style="513" customWidth="1"/>
    <col min="267" max="267" width="4.5703125" style="513" customWidth="1"/>
    <col min="268" max="268" width="6.140625" style="513" customWidth="1"/>
    <col min="269" max="270" width="4.7109375" style="513" customWidth="1"/>
    <col min="271" max="271" width="5.140625" style="513" customWidth="1"/>
    <col min="272" max="272" width="8.5703125" style="513" customWidth="1"/>
    <col min="273" max="273" width="9.5703125" style="513" customWidth="1"/>
    <col min="274" max="274" width="8.7109375" style="513" customWidth="1"/>
    <col min="275" max="275" width="9.28515625" style="513" customWidth="1"/>
    <col min="276" max="276" width="8.7109375" style="513" customWidth="1"/>
    <col min="277" max="277" width="9.28515625" style="513" customWidth="1"/>
    <col min="278" max="278" width="8.7109375" style="513" customWidth="1"/>
    <col min="279" max="279" width="9.28515625" style="513" customWidth="1"/>
    <col min="280" max="516" width="9.140625" style="513"/>
    <col min="517" max="517" width="1.42578125" style="513" customWidth="1"/>
    <col min="518" max="518" width="3.42578125" style="513" customWidth="1"/>
    <col min="519" max="519" width="11.42578125" style="513" customWidth="1"/>
    <col min="520" max="520" width="7.28515625" style="513" customWidth="1"/>
    <col min="521" max="521" width="14" style="513" customWidth="1"/>
    <col min="522" max="522" width="6.42578125" style="513" customWidth="1"/>
    <col min="523" max="523" width="4.5703125" style="513" customWidth="1"/>
    <col min="524" max="524" width="6.140625" style="513" customWidth="1"/>
    <col min="525" max="526" width="4.7109375" style="513" customWidth="1"/>
    <col min="527" max="527" width="5.140625" style="513" customWidth="1"/>
    <col min="528" max="528" width="8.5703125" style="513" customWidth="1"/>
    <col min="529" max="529" width="9.5703125" style="513" customWidth="1"/>
    <col min="530" max="530" width="8.7109375" style="513" customWidth="1"/>
    <col min="531" max="531" width="9.28515625" style="513" customWidth="1"/>
    <col min="532" max="532" width="8.7109375" style="513" customWidth="1"/>
    <col min="533" max="533" width="9.28515625" style="513" customWidth="1"/>
    <col min="534" max="534" width="8.7109375" style="513" customWidth="1"/>
    <col min="535" max="535" width="9.28515625" style="513" customWidth="1"/>
    <col min="536" max="772" width="9.140625" style="513"/>
    <col min="773" max="773" width="1.42578125" style="513" customWidth="1"/>
    <col min="774" max="774" width="3.42578125" style="513" customWidth="1"/>
    <col min="775" max="775" width="11.42578125" style="513" customWidth="1"/>
    <col min="776" max="776" width="7.28515625" style="513" customWidth="1"/>
    <col min="777" max="777" width="14" style="513" customWidth="1"/>
    <col min="778" max="778" width="6.42578125" style="513" customWidth="1"/>
    <col min="779" max="779" width="4.5703125" style="513" customWidth="1"/>
    <col min="780" max="780" width="6.140625" style="513" customWidth="1"/>
    <col min="781" max="782" width="4.7109375" style="513" customWidth="1"/>
    <col min="783" max="783" width="5.140625" style="513" customWidth="1"/>
    <col min="784" max="784" width="8.5703125" style="513" customWidth="1"/>
    <col min="785" max="785" width="9.5703125" style="513" customWidth="1"/>
    <col min="786" max="786" width="8.7109375" style="513" customWidth="1"/>
    <col min="787" max="787" width="9.28515625" style="513" customWidth="1"/>
    <col min="788" max="788" width="8.7109375" style="513" customWidth="1"/>
    <col min="789" max="789" width="9.28515625" style="513" customWidth="1"/>
    <col min="790" max="790" width="8.7109375" style="513" customWidth="1"/>
    <col min="791" max="791" width="9.28515625" style="513" customWidth="1"/>
    <col min="792" max="1028" width="9.140625" style="513"/>
    <col min="1029" max="1029" width="1.42578125" style="513" customWidth="1"/>
    <col min="1030" max="1030" width="3.42578125" style="513" customWidth="1"/>
    <col min="1031" max="1031" width="11.42578125" style="513" customWidth="1"/>
    <col min="1032" max="1032" width="7.28515625" style="513" customWidth="1"/>
    <col min="1033" max="1033" width="14" style="513" customWidth="1"/>
    <col min="1034" max="1034" width="6.42578125" style="513" customWidth="1"/>
    <col min="1035" max="1035" width="4.5703125" style="513" customWidth="1"/>
    <col min="1036" max="1036" width="6.140625" style="513" customWidth="1"/>
    <col min="1037" max="1038" width="4.7109375" style="513" customWidth="1"/>
    <col min="1039" max="1039" width="5.140625" style="513" customWidth="1"/>
    <col min="1040" max="1040" width="8.5703125" style="513" customWidth="1"/>
    <col min="1041" max="1041" width="9.5703125" style="513" customWidth="1"/>
    <col min="1042" max="1042" width="8.7109375" style="513" customWidth="1"/>
    <col min="1043" max="1043" width="9.28515625" style="513" customWidth="1"/>
    <col min="1044" max="1044" width="8.7109375" style="513" customWidth="1"/>
    <col min="1045" max="1045" width="9.28515625" style="513" customWidth="1"/>
    <col min="1046" max="1046" width="8.7109375" style="513" customWidth="1"/>
    <col min="1047" max="1047" width="9.28515625" style="513" customWidth="1"/>
    <col min="1048" max="1284" width="9.140625" style="513"/>
    <col min="1285" max="1285" width="1.42578125" style="513" customWidth="1"/>
    <col min="1286" max="1286" width="3.42578125" style="513" customWidth="1"/>
    <col min="1287" max="1287" width="11.42578125" style="513" customWidth="1"/>
    <col min="1288" max="1288" width="7.28515625" style="513" customWidth="1"/>
    <col min="1289" max="1289" width="14" style="513" customWidth="1"/>
    <col min="1290" max="1290" width="6.42578125" style="513" customWidth="1"/>
    <col min="1291" max="1291" width="4.5703125" style="513" customWidth="1"/>
    <col min="1292" max="1292" width="6.140625" style="513" customWidth="1"/>
    <col min="1293" max="1294" width="4.7109375" style="513" customWidth="1"/>
    <col min="1295" max="1295" width="5.140625" style="513" customWidth="1"/>
    <col min="1296" max="1296" width="8.5703125" style="513" customWidth="1"/>
    <col min="1297" max="1297" width="9.5703125" style="513" customWidth="1"/>
    <col min="1298" max="1298" width="8.7109375" style="513" customWidth="1"/>
    <col min="1299" max="1299" width="9.28515625" style="513" customWidth="1"/>
    <col min="1300" max="1300" width="8.7109375" style="513" customWidth="1"/>
    <col min="1301" max="1301" width="9.28515625" style="513" customWidth="1"/>
    <col min="1302" max="1302" width="8.7109375" style="513" customWidth="1"/>
    <col min="1303" max="1303" width="9.28515625" style="513" customWidth="1"/>
    <col min="1304" max="1540" width="9.140625" style="513"/>
    <col min="1541" max="1541" width="1.42578125" style="513" customWidth="1"/>
    <col min="1542" max="1542" width="3.42578125" style="513" customWidth="1"/>
    <col min="1543" max="1543" width="11.42578125" style="513" customWidth="1"/>
    <col min="1544" max="1544" width="7.28515625" style="513" customWidth="1"/>
    <col min="1545" max="1545" width="14" style="513" customWidth="1"/>
    <col min="1546" max="1546" width="6.42578125" style="513" customWidth="1"/>
    <col min="1547" max="1547" width="4.5703125" style="513" customWidth="1"/>
    <col min="1548" max="1548" width="6.140625" style="513" customWidth="1"/>
    <col min="1549" max="1550" width="4.7109375" style="513" customWidth="1"/>
    <col min="1551" max="1551" width="5.140625" style="513" customWidth="1"/>
    <col min="1552" max="1552" width="8.5703125" style="513" customWidth="1"/>
    <col min="1553" max="1553" width="9.5703125" style="513" customWidth="1"/>
    <col min="1554" max="1554" width="8.7109375" style="513" customWidth="1"/>
    <col min="1555" max="1555" width="9.28515625" style="513" customWidth="1"/>
    <col min="1556" max="1556" width="8.7109375" style="513" customWidth="1"/>
    <col min="1557" max="1557" width="9.28515625" style="513" customWidth="1"/>
    <col min="1558" max="1558" width="8.7109375" style="513" customWidth="1"/>
    <col min="1559" max="1559" width="9.28515625" style="513" customWidth="1"/>
    <col min="1560" max="1796" width="9.140625" style="513"/>
    <col min="1797" max="1797" width="1.42578125" style="513" customWidth="1"/>
    <col min="1798" max="1798" width="3.42578125" style="513" customWidth="1"/>
    <col min="1799" max="1799" width="11.42578125" style="513" customWidth="1"/>
    <col min="1800" max="1800" width="7.28515625" style="513" customWidth="1"/>
    <col min="1801" max="1801" width="14" style="513" customWidth="1"/>
    <col min="1802" max="1802" width="6.42578125" style="513" customWidth="1"/>
    <col min="1803" max="1803" width="4.5703125" style="513" customWidth="1"/>
    <col min="1804" max="1804" width="6.140625" style="513" customWidth="1"/>
    <col min="1805" max="1806" width="4.7109375" style="513" customWidth="1"/>
    <col min="1807" max="1807" width="5.140625" style="513" customWidth="1"/>
    <col min="1808" max="1808" width="8.5703125" style="513" customWidth="1"/>
    <col min="1809" max="1809" width="9.5703125" style="513" customWidth="1"/>
    <col min="1810" max="1810" width="8.7109375" style="513" customWidth="1"/>
    <col min="1811" max="1811" width="9.28515625" style="513" customWidth="1"/>
    <col min="1812" max="1812" width="8.7109375" style="513" customWidth="1"/>
    <col min="1813" max="1813" width="9.28515625" style="513" customWidth="1"/>
    <col min="1814" max="1814" width="8.7109375" style="513" customWidth="1"/>
    <col min="1815" max="1815" width="9.28515625" style="513" customWidth="1"/>
    <col min="1816" max="2052" width="9.140625" style="513"/>
    <col min="2053" max="2053" width="1.42578125" style="513" customWidth="1"/>
    <col min="2054" max="2054" width="3.42578125" style="513" customWidth="1"/>
    <col min="2055" max="2055" width="11.42578125" style="513" customWidth="1"/>
    <col min="2056" max="2056" width="7.28515625" style="513" customWidth="1"/>
    <col min="2057" max="2057" width="14" style="513" customWidth="1"/>
    <col min="2058" max="2058" width="6.42578125" style="513" customWidth="1"/>
    <col min="2059" max="2059" width="4.5703125" style="513" customWidth="1"/>
    <col min="2060" max="2060" width="6.140625" style="513" customWidth="1"/>
    <col min="2061" max="2062" width="4.7109375" style="513" customWidth="1"/>
    <col min="2063" max="2063" width="5.140625" style="513" customWidth="1"/>
    <col min="2064" max="2064" width="8.5703125" style="513" customWidth="1"/>
    <col min="2065" max="2065" width="9.5703125" style="513" customWidth="1"/>
    <col min="2066" max="2066" width="8.7109375" style="513" customWidth="1"/>
    <col min="2067" max="2067" width="9.28515625" style="513" customWidth="1"/>
    <col min="2068" max="2068" width="8.7109375" style="513" customWidth="1"/>
    <col min="2069" max="2069" width="9.28515625" style="513" customWidth="1"/>
    <col min="2070" max="2070" width="8.7109375" style="513" customWidth="1"/>
    <col min="2071" max="2071" width="9.28515625" style="513" customWidth="1"/>
    <col min="2072" max="2308" width="9.140625" style="513"/>
    <col min="2309" max="2309" width="1.42578125" style="513" customWidth="1"/>
    <col min="2310" max="2310" width="3.42578125" style="513" customWidth="1"/>
    <col min="2311" max="2311" width="11.42578125" style="513" customWidth="1"/>
    <col min="2312" max="2312" width="7.28515625" style="513" customWidth="1"/>
    <col min="2313" max="2313" width="14" style="513" customWidth="1"/>
    <col min="2314" max="2314" width="6.42578125" style="513" customWidth="1"/>
    <col min="2315" max="2315" width="4.5703125" style="513" customWidth="1"/>
    <col min="2316" max="2316" width="6.140625" style="513" customWidth="1"/>
    <col min="2317" max="2318" width="4.7109375" style="513" customWidth="1"/>
    <col min="2319" max="2319" width="5.140625" style="513" customWidth="1"/>
    <col min="2320" max="2320" width="8.5703125" style="513" customWidth="1"/>
    <col min="2321" max="2321" width="9.5703125" style="513" customWidth="1"/>
    <col min="2322" max="2322" width="8.7109375" style="513" customWidth="1"/>
    <col min="2323" max="2323" width="9.28515625" style="513" customWidth="1"/>
    <col min="2324" max="2324" width="8.7109375" style="513" customWidth="1"/>
    <col min="2325" max="2325" width="9.28515625" style="513" customWidth="1"/>
    <col min="2326" max="2326" width="8.7109375" style="513" customWidth="1"/>
    <col min="2327" max="2327" width="9.28515625" style="513" customWidth="1"/>
    <col min="2328" max="2564" width="9.140625" style="513"/>
    <col min="2565" max="2565" width="1.42578125" style="513" customWidth="1"/>
    <col min="2566" max="2566" width="3.42578125" style="513" customWidth="1"/>
    <col min="2567" max="2567" width="11.42578125" style="513" customWidth="1"/>
    <col min="2568" max="2568" width="7.28515625" style="513" customWidth="1"/>
    <col min="2569" max="2569" width="14" style="513" customWidth="1"/>
    <col min="2570" max="2570" width="6.42578125" style="513" customWidth="1"/>
    <col min="2571" max="2571" width="4.5703125" style="513" customWidth="1"/>
    <col min="2572" max="2572" width="6.140625" style="513" customWidth="1"/>
    <col min="2573" max="2574" width="4.7109375" style="513" customWidth="1"/>
    <col min="2575" max="2575" width="5.140625" style="513" customWidth="1"/>
    <col min="2576" max="2576" width="8.5703125" style="513" customWidth="1"/>
    <col min="2577" max="2577" width="9.5703125" style="513" customWidth="1"/>
    <col min="2578" max="2578" width="8.7109375" style="513" customWidth="1"/>
    <col min="2579" max="2579" width="9.28515625" style="513" customWidth="1"/>
    <col min="2580" max="2580" width="8.7109375" style="513" customWidth="1"/>
    <col min="2581" max="2581" width="9.28515625" style="513" customWidth="1"/>
    <col min="2582" max="2582" width="8.7109375" style="513" customWidth="1"/>
    <col min="2583" max="2583" width="9.28515625" style="513" customWidth="1"/>
    <col min="2584" max="2820" width="9.140625" style="513"/>
    <col min="2821" max="2821" width="1.42578125" style="513" customWidth="1"/>
    <col min="2822" max="2822" width="3.42578125" style="513" customWidth="1"/>
    <col min="2823" max="2823" width="11.42578125" style="513" customWidth="1"/>
    <col min="2824" max="2824" width="7.28515625" style="513" customWidth="1"/>
    <col min="2825" max="2825" width="14" style="513" customWidth="1"/>
    <col min="2826" max="2826" width="6.42578125" style="513" customWidth="1"/>
    <col min="2827" max="2827" width="4.5703125" style="513" customWidth="1"/>
    <col min="2828" max="2828" width="6.140625" style="513" customWidth="1"/>
    <col min="2829" max="2830" width="4.7109375" style="513" customWidth="1"/>
    <col min="2831" max="2831" width="5.140625" style="513" customWidth="1"/>
    <col min="2832" max="2832" width="8.5703125" style="513" customWidth="1"/>
    <col min="2833" max="2833" width="9.5703125" style="513" customWidth="1"/>
    <col min="2834" max="2834" width="8.7109375" style="513" customWidth="1"/>
    <col min="2835" max="2835" width="9.28515625" style="513" customWidth="1"/>
    <col min="2836" max="2836" width="8.7109375" style="513" customWidth="1"/>
    <col min="2837" max="2837" width="9.28515625" style="513" customWidth="1"/>
    <col min="2838" max="2838" width="8.7109375" style="513" customWidth="1"/>
    <col min="2839" max="2839" width="9.28515625" style="513" customWidth="1"/>
    <col min="2840" max="3076" width="9.140625" style="513"/>
    <col min="3077" max="3077" width="1.42578125" style="513" customWidth="1"/>
    <col min="3078" max="3078" width="3.42578125" style="513" customWidth="1"/>
    <col min="3079" max="3079" width="11.42578125" style="513" customWidth="1"/>
    <col min="3080" max="3080" width="7.28515625" style="513" customWidth="1"/>
    <col min="3081" max="3081" width="14" style="513" customWidth="1"/>
    <col min="3082" max="3082" width="6.42578125" style="513" customWidth="1"/>
    <col min="3083" max="3083" width="4.5703125" style="513" customWidth="1"/>
    <col min="3084" max="3084" width="6.140625" style="513" customWidth="1"/>
    <col min="3085" max="3086" width="4.7109375" style="513" customWidth="1"/>
    <col min="3087" max="3087" width="5.140625" style="513" customWidth="1"/>
    <col min="3088" max="3088" width="8.5703125" style="513" customWidth="1"/>
    <col min="3089" max="3089" width="9.5703125" style="513" customWidth="1"/>
    <col min="3090" max="3090" width="8.7109375" style="513" customWidth="1"/>
    <col min="3091" max="3091" width="9.28515625" style="513" customWidth="1"/>
    <col min="3092" max="3092" width="8.7109375" style="513" customWidth="1"/>
    <col min="3093" max="3093" width="9.28515625" style="513" customWidth="1"/>
    <col min="3094" max="3094" width="8.7109375" style="513" customWidth="1"/>
    <col min="3095" max="3095" width="9.28515625" style="513" customWidth="1"/>
    <col min="3096" max="3332" width="9.140625" style="513"/>
    <col min="3333" max="3333" width="1.42578125" style="513" customWidth="1"/>
    <col min="3334" max="3334" width="3.42578125" style="513" customWidth="1"/>
    <col min="3335" max="3335" width="11.42578125" style="513" customWidth="1"/>
    <col min="3336" max="3336" width="7.28515625" style="513" customWidth="1"/>
    <col min="3337" max="3337" width="14" style="513" customWidth="1"/>
    <col min="3338" max="3338" width="6.42578125" style="513" customWidth="1"/>
    <col min="3339" max="3339" width="4.5703125" style="513" customWidth="1"/>
    <col min="3340" max="3340" width="6.140625" style="513" customWidth="1"/>
    <col min="3341" max="3342" width="4.7109375" style="513" customWidth="1"/>
    <col min="3343" max="3343" width="5.140625" style="513" customWidth="1"/>
    <col min="3344" max="3344" width="8.5703125" style="513" customWidth="1"/>
    <col min="3345" max="3345" width="9.5703125" style="513" customWidth="1"/>
    <col min="3346" max="3346" width="8.7109375" style="513" customWidth="1"/>
    <col min="3347" max="3347" width="9.28515625" style="513" customWidth="1"/>
    <col min="3348" max="3348" width="8.7109375" style="513" customWidth="1"/>
    <col min="3349" max="3349" width="9.28515625" style="513" customWidth="1"/>
    <col min="3350" max="3350" width="8.7109375" style="513" customWidth="1"/>
    <col min="3351" max="3351" width="9.28515625" style="513" customWidth="1"/>
    <col min="3352" max="3588" width="9.140625" style="513"/>
    <col min="3589" max="3589" width="1.42578125" style="513" customWidth="1"/>
    <col min="3590" max="3590" width="3.42578125" style="513" customWidth="1"/>
    <col min="3591" max="3591" width="11.42578125" style="513" customWidth="1"/>
    <col min="3592" max="3592" width="7.28515625" style="513" customWidth="1"/>
    <col min="3593" max="3593" width="14" style="513" customWidth="1"/>
    <col min="3594" max="3594" width="6.42578125" style="513" customWidth="1"/>
    <col min="3595" max="3595" width="4.5703125" style="513" customWidth="1"/>
    <col min="3596" max="3596" width="6.140625" style="513" customWidth="1"/>
    <col min="3597" max="3598" width="4.7109375" style="513" customWidth="1"/>
    <col min="3599" max="3599" width="5.140625" style="513" customWidth="1"/>
    <col min="3600" max="3600" width="8.5703125" style="513" customWidth="1"/>
    <col min="3601" max="3601" width="9.5703125" style="513" customWidth="1"/>
    <col min="3602" max="3602" width="8.7109375" style="513" customWidth="1"/>
    <col min="3603" max="3603" width="9.28515625" style="513" customWidth="1"/>
    <col min="3604" max="3604" width="8.7109375" style="513" customWidth="1"/>
    <col min="3605" max="3605" width="9.28515625" style="513" customWidth="1"/>
    <col min="3606" max="3606" width="8.7109375" style="513" customWidth="1"/>
    <col min="3607" max="3607" width="9.28515625" style="513" customWidth="1"/>
    <col min="3608" max="3844" width="9.140625" style="513"/>
    <col min="3845" max="3845" width="1.42578125" style="513" customWidth="1"/>
    <col min="3846" max="3846" width="3.42578125" style="513" customWidth="1"/>
    <col min="3847" max="3847" width="11.42578125" style="513" customWidth="1"/>
    <col min="3848" max="3848" width="7.28515625" style="513" customWidth="1"/>
    <col min="3849" max="3849" width="14" style="513" customWidth="1"/>
    <col min="3850" max="3850" width="6.42578125" style="513" customWidth="1"/>
    <col min="3851" max="3851" width="4.5703125" style="513" customWidth="1"/>
    <col min="3852" max="3852" width="6.140625" style="513" customWidth="1"/>
    <col min="3853" max="3854" width="4.7109375" style="513" customWidth="1"/>
    <col min="3855" max="3855" width="5.140625" style="513" customWidth="1"/>
    <col min="3856" max="3856" width="8.5703125" style="513" customWidth="1"/>
    <col min="3857" max="3857" width="9.5703125" style="513" customWidth="1"/>
    <col min="3858" max="3858" width="8.7109375" style="513" customWidth="1"/>
    <col min="3859" max="3859" width="9.28515625" style="513" customWidth="1"/>
    <col min="3860" max="3860" width="8.7109375" style="513" customWidth="1"/>
    <col min="3861" max="3861" width="9.28515625" style="513" customWidth="1"/>
    <col min="3862" max="3862" width="8.7109375" style="513" customWidth="1"/>
    <col min="3863" max="3863" width="9.28515625" style="513" customWidth="1"/>
    <col min="3864" max="4100" width="9.140625" style="513"/>
    <col min="4101" max="4101" width="1.42578125" style="513" customWidth="1"/>
    <col min="4102" max="4102" width="3.42578125" style="513" customWidth="1"/>
    <col min="4103" max="4103" width="11.42578125" style="513" customWidth="1"/>
    <col min="4104" max="4104" width="7.28515625" style="513" customWidth="1"/>
    <col min="4105" max="4105" width="14" style="513" customWidth="1"/>
    <col min="4106" max="4106" width="6.42578125" style="513" customWidth="1"/>
    <col min="4107" max="4107" width="4.5703125" style="513" customWidth="1"/>
    <col min="4108" max="4108" width="6.140625" style="513" customWidth="1"/>
    <col min="4109" max="4110" width="4.7109375" style="513" customWidth="1"/>
    <col min="4111" max="4111" width="5.140625" style="513" customWidth="1"/>
    <col min="4112" max="4112" width="8.5703125" style="513" customWidth="1"/>
    <col min="4113" max="4113" width="9.5703125" style="513" customWidth="1"/>
    <col min="4114" max="4114" width="8.7109375" style="513" customWidth="1"/>
    <col min="4115" max="4115" width="9.28515625" style="513" customWidth="1"/>
    <col min="4116" max="4116" width="8.7109375" style="513" customWidth="1"/>
    <col min="4117" max="4117" width="9.28515625" style="513" customWidth="1"/>
    <col min="4118" max="4118" width="8.7109375" style="513" customWidth="1"/>
    <col min="4119" max="4119" width="9.28515625" style="513" customWidth="1"/>
    <col min="4120" max="4356" width="9.140625" style="513"/>
    <col min="4357" max="4357" width="1.42578125" style="513" customWidth="1"/>
    <col min="4358" max="4358" width="3.42578125" style="513" customWidth="1"/>
    <col min="4359" max="4359" width="11.42578125" style="513" customWidth="1"/>
    <col min="4360" max="4360" width="7.28515625" style="513" customWidth="1"/>
    <col min="4361" max="4361" width="14" style="513" customWidth="1"/>
    <col min="4362" max="4362" width="6.42578125" style="513" customWidth="1"/>
    <col min="4363" max="4363" width="4.5703125" style="513" customWidth="1"/>
    <col min="4364" max="4364" width="6.140625" style="513" customWidth="1"/>
    <col min="4365" max="4366" width="4.7109375" style="513" customWidth="1"/>
    <col min="4367" max="4367" width="5.140625" style="513" customWidth="1"/>
    <col min="4368" max="4368" width="8.5703125" style="513" customWidth="1"/>
    <col min="4369" max="4369" width="9.5703125" style="513" customWidth="1"/>
    <col min="4370" max="4370" width="8.7109375" style="513" customWidth="1"/>
    <col min="4371" max="4371" width="9.28515625" style="513" customWidth="1"/>
    <col min="4372" max="4372" width="8.7109375" style="513" customWidth="1"/>
    <col min="4373" max="4373" width="9.28515625" style="513" customWidth="1"/>
    <col min="4374" max="4374" width="8.7109375" style="513" customWidth="1"/>
    <col min="4375" max="4375" width="9.28515625" style="513" customWidth="1"/>
    <col min="4376" max="4612" width="9.140625" style="513"/>
    <col min="4613" max="4613" width="1.42578125" style="513" customWidth="1"/>
    <col min="4614" max="4614" width="3.42578125" style="513" customWidth="1"/>
    <col min="4615" max="4615" width="11.42578125" style="513" customWidth="1"/>
    <col min="4616" max="4616" width="7.28515625" style="513" customWidth="1"/>
    <col min="4617" max="4617" width="14" style="513" customWidth="1"/>
    <col min="4618" max="4618" width="6.42578125" style="513" customWidth="1"/>
    <col min="4619" max="4619" width="4.5703125" style="513" customWidth="1"/>
    <col min="4620" max="4620" width="6.140625" style="513" customWidth="1"/>
    <col min="4621" max="4622" width="4.7109375" style="513" customWidth="1"/>
    <col min="4623" max="4623" width="5.140625" style="513" customWidth="1"/>
    <col min="4624" max="4624" width="8.5703125" style="513" customWidth="1"/>
    <col min="4625" max="4625" width="9.5703125" style="513" customWidth="1"/>
    <col min="4626" max="4626" width="8.7109375" style="513" customWidth="1"/>
    <col min="4627" max="4627" width="9.28515625" style="513" customWidth="1"/>
    <col min="4628" max="4628" width="8.7109375" style="513" customWidth="1"/>
    <col min="4629" max="4629" width="9.28515625" style="513" customWidth="1"/>
    <col min="4630" max="4630" width="8.7109375" style="513" customWidth="1"/>
    <col min="4631" max="4631" width="9.28515625" style="513" customWidth="1"/>
    <col min="4632" max="4868" width="9.140625" style="513"/>
    <col min="4869" max="4869" width="1.42578125" style="513" customWidth="1"/>
    <col min="4870" max="4870" width="3.42578125" style="513" customWidth="1"/>
    <col min="4871" max="4871" width="11.42578125" style="513" customWidth="1"/>
    <col min="4872" max="4872" width="7.28515625" style="513" customWidth="1"/>
    <col min="4873" max="4873" width="14" style="513" customWidth="1"/>
    <col min="4874" max="4874" width="6.42578125" style="513" customWidth="1"/>
    <col min="4875" max="4875" width="4.5703125" style="513" customWidth="1"/>
    <col min="4876" max="4876" width="6.140625" style="513" customWidth="1"/>
    <col min="4877" max="4878" width="4.7109375" style="513" customWidth="1"/>
    <col min="4879" max="4879" width="5.140625" style="513" customWidth="1"/>
    <col min="4880" max="4880" width="8.5703125" style="513" customWidth="1"/>
    <col min="4881" max="4881" width="9.5703125" style="513" customWidth="1"/>
    <col min="4882" max="4882" width="8.7109375" style="513" customWidth="1"/>
    <col min="4883" max="4883" width="9.28515625" style="513" customWidth="1"/>
    <col min="4884" max="4884" width="8.7109375" style="513" customWidth="1"/>
    <col min="4885" max="4885" width="9.28515625" style="513" customWidth="1"/>
    <col min="4886" max="4886" width="8.7109375" style="513" customWidth="1"/>
    <col min="4887" max="4887" width="9.28515625" style="513" customWidth="1"/>
    <col min="4888" max="5124" width="9.140625" style="513"/>
    <col min="5125" max="5125" width="1.42578125" style="513" customWidth="1"/>
    <col min="5126" max="5126" width="3.42578125" style="513" customWidth="1"/>
    <col min="5127" max="5127" width="11.42578125" style="513" customWidth="1"/>
    <col min="5128" max="5128" width="7.28515625" style="513" customWidth="1"/>
    <col min="5129" max="5129" width="14" style="513" customWidth="1"/>
    <col min="5130" max="5130" width="6.42578125" style="513" customWidth="1"/>
    <col min="5131" max="5131" width="4.5703125" style="513" customWidth="1"/>
    <col min="5132" max="5132" width="6.140625" style="513" customWidth="1"/>
    <col min="5133" max="5134" width="4.7109375" style="513" customWidth="1"/>
    <col min="5135" max="5135" width="5.140625" style="513" customWidth="1"/>
    <col min="5136" max="5136" width="8.5703125" style="513" customWidth="1"/>
    <col min="5137" max="5137" width="9.5703125" style="513" customWidth="1"/>
    <col min="5138" max="5138" width="8.7109375" style="513" customWidth="1"/>
    <col min="5139" max="5139" width="9.28515625" style="513" customWidth="1"/>
    <col min="5140" max="5140" width="8.7109375" style="513" customWidth="1"/>
    <col min="5141" max="5141" width="9.28515625" style="513" customWidth="1"/>
    <col min="5142" max="5142" width="8.7109375" style="513" customWidth="1"/>
    <col min="5143" max="5143" width="9.28515625" style="513" customWidth="1"/>
    <col min="5144" max="5380" width="9.140625" style="513"/>
    <col min="5381" max="5381" width="1.42578125" style="513" customWidth="1"/>
    <col min="5382" max="5382" width="3.42578125" style="513" customWidth="1"/>
    <col min="5383" max="5383" width="11.42578125" style="513" customWidth="1"/>
    <col min="5384" max="5384" width="7.28515625" style="513" customWidth="1"/>
    <col min="5385" max="5385" width="14" style="513" customWidth="1"/>
    <col min="5386" max="5386" width="6.42578125" style="513" customWidth="1"/>
    <col min="5387" max="5387" width="4.5703125" style="513" customWidth="1"/>
    <col min="5388" max="5388" width="6.140625" style="513" customWidth="1"/>
    <col min="5389" max="5390" width="4.7109375" style="513" customWidth="1"/>
    <col min="5391" max="5391" width="5.140625" style="513" customWidth="1"/>
    <col min="5392" max="5392" width="8.5703125" style="513" customWidth="1"/>
    <col min="5393" max="5393" width="9.5703125" style="513" customWidth="1"/>
    <col min="5394" max="5394" width="8.7109375" style="513" customWidth="1"/>
    <col min="5395" max="5395" width="9.28515625" style="513" customWidth="1"/>
    <col min="5396" max="5396" width="8.7109375" style="513" customWidth="1"/>
    <col min="5397" max="5397" width="9.28515625" style="513" customWidth="1"/>
    <col min="5398" max="5398" width="8.7109375" style="513" customWidth="1"/>
    <col min="5399" max="5399" width="9.28515625" style="513" customWidth="1"/>
    <col min="5400" max="5636" width="9.140625" style="513"/>
    <col min="5637" max="5637" width="1.42578125" style="513" customWidth="1"/>
    <col min="5638" max="5638" width="3.42578125" style="513" customWidth="1"/>
    <col min="5639" max="5639" width="11.42578125" style="513" customWidth="1"/>
    <col min="5640" max="5640" width="7.28515625" style="513" customWidth="1"/>
    <col min="5641" max="5641" width="14" style="513" customWidth="1"/>
    <col min="5642" max="5642" width="6.42578125" style="513" customWidth="1"/>
    <col min="5643" max="5643" width="4.5703125" style="513" customWidth="1"/>
    <col min="5644" max="5644" width="6.140625" style="513" customWidth="1"/>
    <col min="5645" max="5646" width="4.7109375" style="513" customWidth="1"/>
    <col min="5647" max="5647" width="5.140625" style="513" customWidth="1"/>
    <col min="5648" max="5648" width="8.5703125" style="513" customWidth="1"/>
    <col min="5649" max="5649" width="9.5703125" style="513" customWidth="1"/>
    <col min="5650" max="5650" width="8.7109375" style="513" customWidth="1"/>
    <col min="5651" max="5651" width="9.28515625" style="513" customWidth="1"/>
    <col min="5652" max="5652" width="8.7109375" style="513" customWidth="1"/>
    <col min="5653" max="5653" width="9.28515625" style="513" customWidth="1"/>
    <col min="5654" max="5654" width="8.7109375" style="513" customWidth="1"/>
    <col min="5655" max="5655" width="9.28515625" style="513" customWidth="1"/>
    <col min="5656" max="5892" width="9.140625" style="513"/>
    <col min="5893" max="5893" width="1.42578125" style="513" customWidth="1"/>
    <col min="5894" max="5894" width="3.42578125" style="513" customWidth="1"/>
    <col min="5895" max="5895" width="11.42578125" style="513" customWidth="1"/>
    <col min="5896" max="5896" width="7.28515625" style="513" customWidth="1"/>
    <col min="5897" max="5897" width="14" style="513" customWidth="1"/>
    <col min="5898" max="5898" width="6.42578125" style="513" customWidth="1"/>
    <col min="5899" max="5899" width="4.5703125" style="513" customWidth="1"/>
    <col min="5900" max="5900" width="6.140625" style="513" customWidth="1"/>
    <col min="5901" max="5902" width="4.7109375" style="513" customWidth="1"/>
    <col min="5903" max="5903" width="5.140625" style="513" customWidth="1"/>
    <col min="5904" max="5904" width="8.5703125" style="513" customWidth="1"/>
    <col min="5905" max="5905" width="9.5703125" style="513" customWidth="1"/>
    <col min="5906" max="5906" width="8.7109375" style="513" customWidth="1"/>
    <col min="5907" max="5907" width="9.28515625" style="513" customWidth="1"/>
    <col min="5908" max="5908" width="8.7109375" style="513" customWidth="1"/>
    <col min="5909" max="5909" width="9.28515625" style="513" customWidth="1"/>
    <col min="5910" max="5910" width="8.7109375" style="513" customWidth="1"/>
    <col min="5911" max="5911" width="9.28515625" style="513" customWidth="1"/>
    <col min="5912" max="6148" width="9.140625" style="513"/>
    <col min="6149" max="6149" width="1.42578125" style="513" customWidth="1"/>
    <col min="6150" max="6150" width="3.42578125" style="513" customWidth="1"/>
    <col min="6151" max="6151" width="11.42578125" style="513" customWidth="1"/>
    <col min="6152" max="6152" width="7.28515625" style="513" customWidth="1"/>
    <col min="6153" max="6153" width="14" style="513" customWidth="1"/>
    <col min="6154" max="6154" width="6.42578125" style="513" customWidth="1"/>
    <col min="6155" max="6155" width="4.5703125" style="513" customWidth="1"/>
    <col min="6156" max="6156" width="6.140625" style="513" customWidth="1"/>
    <col min="6157" max="6158" width="4.7109375" style="513" customWidth="1"/>
    <col min="6159" max="6159" width="5.140625" style="513" customWidth="1"/>
    <col min="6160" max="6160" width="8.5703125" style="513" customWidth="1"/>
    <col min="6161" max="6161" width="9.5703125" style="513" customWidth="1"/>
    <col min="6162" max="6162" width="8.7109375" style="513" customWidth="1"/>
    <col min="6163" max="6163" width="9.28515625" style="513" customWidth="1"/>
    <col min="6164" max="6164" width="8.7109375" style="513" customWidth="1"/>
    <col min="6165" max="6165" width="9.28515625" style="513" customWidth="1"/>
    <col min="6166" max="6166" width="8.7109375" style="513" customWidth="1"/>
    <col min="6167" max="6167" width="9.28515625" style="513" customWidth="1"/>
    <col min="6168" max="6404" width="9.140625" style="513"/>
    <col min="6405" max="6405" width="1.42578125" style="513" customWidth="1"/>
    <col min="6406" max="6406" width="3.42578125" style="513" customWidth="1"/>
    <col min="6407" max="6407" width="11.42578125" style="513" customWidth="1"/>
    <col min="6408" max="6408" width="7.28515625" style="513" customWidth="1"/>
    <col min="6409" max="6409" width="14" style="513" customWidth="1"/>
    <col min="6410" max="6410" width="6.42578125" style="513" customWidth="1"/>
    <col min="6411" max="6411" width="4.5703125" style="513" customWidth="1"/>
    <col min="6412" max="6412" width="6.140625" style="513" customWidth="1"/>
    <col min="6413" max="6414" width="4.7109375" style="513" customWidth="1"/>
    <col min="6415" max="6415" width="5.140625" style="513" customWidth="1"/>
    <col min="6416" max="6416" width="8.5703125" style="513" customWidth="1"/>
    <col min="6417" max="6417" width="9.5703125" style="513" customWidth="1"/>
    <col min="6418" max="6418" width="8.7109375" style="513" customWidth="1"/>
    <col min="6419" max="6419" width="9.28515625" style="513" customWidth="1"/>
    <col min="6420" max="6420" width="8.7109375" style="513" customWidth="1"/>
    <col min="6421" max="6421" width="9.28515625" style="513" customWidth="1"/>
    <col min="6422" max="6422" width="8.7109375" style="513" customWidth="1"/>
    <col min="6423" max="6423" width="9.28515625" style="513" customWidth="1"/>
    <col min="6424" max="6660" width="9.140625" style="513"/>
    <col min="6661" max="6661" width="1.42578125" style="513" customWidth="1"/>
    <col min="6662" max="6662" width="3.42578125" style="513" customWidth="1"/>
    <col min="6663" max="6663" width="11.42578125" style="513" customWidth="1"/>
    <col min="6664" max="6664" width="7.28515625" style="513" customWidth="1"/>
    <col min="6665" max="6665" width="14" style="513" customWidth="1"/>
    <col min="6666" max="6666" width="6.42578125" style="513" customWidth="1"/>
    <col min="6667" max="6667" width="4.5703125" style="513" customWidth="1"/>
    <col min="6668" max="6668" width="6.140625" style="513" customWidth="1"/>
    <col min="6669" max="6670" width="4.7109375" style="513" customWidth="1"/>
    <col min="6671" max="6671" width="5.140625" style="513" customWidth="1"/>
    <col min="6672" max="6672" width="8.5703125" style="513" customWidth="1"/>
    <col min="6673" max="6673" width="9.5703125" style="513" customWidth="1"/>
    <col min="6674" max="6674" width="8.7109375" style="513" customWidth="1"/>
    <col min="6675" max="6675" width="9.28515625" style="513" customWidth="1"/>
    <col min="6676" max="6676" width="8.7109375" style="513" customWidth="1"/>
    <col min="6677" max="6677" width="9.28515625" style="513" customWidth="1"/>
    <col min="6678" max="6678" width="8.7109375" style="513" customWidth="1"/>
    <col min="6679" max="6679" width="9.28515625" style="513" customWidth="1"/>
    <col min="6680" max="6916" width="9.140625" style="513"/>
    <col min="6917" max="6917" width="1.42578125" style="513" customWidth="1"/>
    <col min="6918" max="6918" width="3.42578125" style="513" customWidth="1"/>
    <col min="6919" max="6919" width="11.42578125" style="513" customWidth="1"/>
    <col min="6920" max="6920" width="7.28515625" style="513" customWidth="1"/>
    <col min="6921" max="6921" width="14" style="513" customWidth="1"/>
    <col min="6922" max="6922" width="6.42578125" style="513" customWidth="1"/>
    <col min="6923" max="6923" width="4.5703125" style="513" customWidth="1"/>
    <col min="6924" max="6924" width="6.140625" style="513" customWidth="1"/>
    <col min="6925" max="6926" width="4.7109375" style="513" customWidth="1"/>
    <col min="6927" max="6927" width="5.140625" style="513" customWidth="1"/>
    <col min="6928" max="6928" width="8.5703125" style="513" customWidth="1"/>
    <col min="6929" max="6929" width="9.5703125" style="513" customWidth="1"/>
    <col min="6930" max="6930" width="8.7109375" style="513" customWidth="1"/>
    <col min="6931" max="6931" width="9.28515625" style="513" customWidth="1"/>
    <col min="6932" max="6932" width="8.7109375" style="513" customWidth="1"/>
    <col min="6933" max="6933" width="9.28515625" style="513" customWidth="1"/>
    <col min="6934" max="6934" width="8.7109375" style="513" customWidth="1"/>
    <col min="6935" max="6935" width="9.28515625" style="513" customWidth="1"/>
    <col min="6936" max="7172" width="9.140625" style="513"/>
    <col min="7173" max="7173" width="1.42578125" style="513" customWidth="1"/>
    <col min="7174" max="7174" width="3.42578125" style="513" customWidth="1"/>
    <col min="7175" max="7175" width="11.42578125" style="513" customWidth="1"/>
    <col min="7176" max="7176" width="7.28515625" style="513" customWidth="1"/>
    <col min="7177" max="7177" width="14" style="513" customWidth="1"/>
    <col min="7178" max="7178" width="6.42578125" style="513" customWidth="1"/>
    <col min="7179" max="7179" width="4.5703125" style="513" customWidth="1"/>
    <col min="7180" max="7180" width="6.140625" style="513" customWidth="1"/>
    <col min="7181" max="7182" width="4.7109375" style="513" customWidth="1"/>
    <col min="7183" max="7183" width="5.140625" style="513" customWidth="1"/>
    <col min="7184" max="7184" width="8.5703125" style="513" customWidth="1"/>
    <col min="7185" max="7185" width="9.5703125" style="513" customWidth="1"/>
    <col min="7186" max="7186" width="8.7109375" style="513" customWidth="1"/>
    <col min="7187" max="7187" width="9.28515625" style="513" customWidth="1"/>
    <col min="7188" max="7188" width="8.7109375" style="513" customWidth="1"/>
    <col min="7189" max="7189" width="9.28515625" style="513" customWidth="1"/>
    <col min="7190" max="7190" width="8.7109375" style="513" customWidth="1"/>
    <col min="7191" max="7191" width="9.28515625" style="513" customWidth="1"/>
    <col min="7192" max="7428" width="9.140625" style="513"/>
    <col min="7429" max="7429" width="1.42578125" style="513" customWidth="1"/>
    <col min="7430" max="7430" width="3.42578125" style="513" customWidth="1"/>
    <col min="7431" max="7431" width="11.42578125" style="513" customWidth="1"/>
    <col min="7432" max="7432" width="7.28515625" style="513" customWidth="1"/>
    <col min="7433" max="7433" width="14" style="513" customWidth="1"/>
    <col min="7434" max="7434" width="6.42578125" style="513" customWidth="1"/>
    <col min="7435" max="7435" width="4.5703125" style="513" customWidth="1"/>
    <col min="7436" max="7436" width="6.140625" style="513" customWidth="1"/>
    <col min="7437" max="7438" width="4.7109375" style="513" customWidth="1"/>
    <col min="7439" max="7439" width="5.140625" style="513" customWidth="1"/>
    <col min="7440" max="7440" width="8.5703125" style="513" customWidth="1"/>
    <col min="7441" max="7441" width="9.5703125" style="513" customWidth="1"/>
    <col min="7442" max="7442" width="8.7109375" style="513" customWidth="1"/>
    <col min="7443" max="7443" width="9.28515625" style="513" customWidth="1"/>
    <col min="7444" max="7444" width="8.7109375" style="513" customWidth="1"/>
    <col min="7445" max="7445" width="9.28515625" style="513" customWidth="1"/>
    <col min="7446" max="7446" width="8.7109375" style="513" customWidth="1"/>
    <col min="7447" max="7447" width="9.28515625" style="513" customWidth="1"/>
    <col min="7448" max="7684" width="9.140625" style="513"/>
    <col min="7685" max="7685" width="1.42578125" style="513" customWidth="1"/>
    <col min="7686" max="7686" width="3.42578125" style="513" customWidth="1"/>
    <col min="7687" max="7687" width="11.42578125" style="513" customWidth="1"/>
    <col min="7688" max="7688" width="7.28515625" style="513" customWidth="1"/>
    <col min="7689" max="7689" width="14" style="513" customWidth="1"/>
    <col min="7690" max="7690" width="6.42578125" style="513" customWidth="1"/>
    <col min="7691" max="7691" width="4.5703125" style="513" customWidth="1"/>
    <col min="7692" max="7692" width="6.140625" style="513" customWidth="1"/>
    <col min="7693" max="7694" width="4.7109375" style="513" customWidth="1"/>
    <col min="7695" max="7695" width="5.140625" style="513" customWidth="1"/>
    <col min="7696" max="7696" width="8.5703125" style="513" customWidth="1"/>
    <col min="7697" max="7697" width="9.5703125" style="513" customWidth="1"/>
    <col min="7698" max="7698" width="8.7109375" style="513" customWidth="1"/>
    <col min="7699" max="7699" width="9.28515625" style="513" customWidth="1"/>
    <col min="7700" max="7700" width="8.7109375" style="513" customWidth="1"/>
    <col min="7701" max="7701" width="9.28515625" style="513" customWidth="1"/>
    <col min="7702" max="7702" width="8.7109375" style="513" customWidth="1"/>
    <col min="7703" max="7703" width="9.28515625" style="513" customWidth="1"/>
    <col min="7704" max="7940" width="9.140625" style="513"/>
    <col min="7941" max="7941" width="1.42578125" style="513" customWidth="1"/>
    <col min="7942" max="7942" width="3.42578125" style="513" customWidth="1"/>
    <col min="7943" max="7943" width="11.42578125" style="513" customWidth="1"/>
    <col min="7944" max="7944" width="7.28515625" style="513" customWidth="1"/>
    <col min="7945" max="7945" width="14" style="513" customWidth="1"/>
    <col min="7946" max="7946" width="6.42578125" style="513" customWidth="1"/>
    <col min="7947" max="7947" width="4.5703125" style="513" customWidth="1"/>
    <col min="7948" max="7948" width="6.140625" style="513" customWidth="1"/>
    <col min="7949" max="7950" width="4.7109375" style="513" customWidth="1"/>
    <col min="7951" max="7951" width="5.140625" style="513" customWidth="1"/>
    <col min="7952" max="7952" width="8.5703125" style="513" customWidth="1"/>
    <col min="7953" max="7953" width="9.5703125" style="513" customWidth="1"/>
    <col min="7954" max="7954" width="8.7109375" style="513" customWidth="1"/>
    <col min="7955" max="7955" width="9.28515625" style="513" customWidth="1"/>
    <col min="7956" max="7956" width="8.7109375" style="513" customWidth="1"/>
    <col min="7957" max="7957" width="9.28515625" style="513" customWidth="1"/>
    <col min="7958" max="7958" width="8.7109375" style="513" customWidth="1"/>
    <col min="7959" max="7959" width="9.28515625" style="513" customWidth="1"/>
    <col min="7960" max="8196" width="9.140625" style="513"/>
    <col min="8197" max="8197" width="1.42578125" style="513" customWidth="1"/>
    <col min="8198" max="8198" width="3.42578125" style="513" customWidth="1"/>
    <col min="8199" max="8199" width="11.42578125" style="513" customWidth="1"/>
    <col min="8200" max="8200" width="7.28515625" style="513" customWidth="1"/>
    <col min="8201" max="8201" width="14" style="513" customWidth="1"/>
    <col min="8202" max="8202" width="6.42578125" style="513" customWidth="1"/>
    <col min="8203" max="8203" width="4.5703125" style="513" customWidth="1"/>
    <col min="8204" max="8204" width="6.140625" style="513" customWidth="1"/>
    <col min="8205" max="8206" width="4.7109375" style="513" customWidth="1"/>
    <col min="8207" max="8207" width="5.140625" style="513" customWidth="1"/>
    <col min="8208" max="8208" width="8.5703125" style="513" customWidth="1"/>
    <col min="8209" max="8209" width="9.5703125" style="513" customWidth="1"/>
    <col min="8210" max="8210" width="8.7109375" style="513" customWidth="1"/>
    <col min="8211" max="8211" width="9.28515625" style="513" customWidth="1"/>
    <col min="8212" max="8212" width="8.7109375" style="513" customWidth="1"/>
    <col min="8213" max="8213" width="9.28515625" style="513" customWidth="1"/>
    <col min="8214" max="8214" width="8.7109375" style="513" customWidth="1"/>
    <col min="8215" max="8215" width="9.28515625" style="513" customWidth="1"/>
    <col min="8216" max="8452" width="9.140625" style="513"/>
    <col min="8453" max="8453" width="1.42578125" style="513" customWidth="1"/>
    <col min="8454" max="8454" width="3.42578125" style="513" customWidth="1"/>
    <col min="8455" max="8455" width="11.42578125" style="513" customWidth="1"/>
    <col min="8456" max="8456" width="7.28515625" style="513" customWidth="1"/>
    <col min="8457" max="8457" width="14" style="513" customWidth="1"/>
    <col min="8458" max="8458" width="6.42578125" style="513" customWidth="1"/>
    <col min="8459" max="8459" width="4.5703125" style="513" customWidth="1"/>
    <col min="8460" max="8460" width="6.140625" style="513" customWidth="1"/>
    <col min="8461" max="8462" width="4.7109375" style="513" customWidth="1"/>
    <col min="8463" max="8463" width="5.140625" style="513" customWidth="1"/>
    <col min="8464" max="8464" width="8.5703125" style="513" customWidth="1"/>
    <col min="8465" max="8465" width="9.5703125" style="513" customWidth="1"/>
    <col min="8466" max="8466" width="8.7109375" style="513" customWidth="1"/>
    <col min="8467" max="8467" width="9.28515625" style="513" customWidth="1"/>
    <col min="8468" max="8468" width="8.7109375" style="513" customWidth="1"/>
    <col min="8469" max="8469" width="9.28515625" style="513" customWidth="1"/>
    <col min="8470" max="8470" width="8.7109375" style="513" customWidth="1"/>
    <col min="8471" max="8471" width="9.28515625" style="513" customWidth="1"/>
    <col min="8472" max="8708" width="9.140625" style="513"/>
    <col min="8709" max="8709" width="1.42578125" style="513" customWidth="1"/>
    <col min="8710" max="8710" width="3.42578125" style="513" customWidth="1"/>
    <col min="8711" max="8711" width="11.42578125" style="513" customWidth="1"/>
    <col min="8712" max="8712" width="7.28515625" style="513" customWidth="1"/>
    <col min="8713" max="8713" width="14" style="513" customWidth="1"/>
    <col min="8714" max="8714" width="6.42578125" style="513" customWidth="1"/>
    <col min="8715" max="8715" width="4.5703125" style="513" customWidth="1"/>
    <col min="8716" max="8716" width="6.140625" style="513" customWidth="1"/>
    <col min="8717" max="8718" width="4.7109375" style="513" customWidth="1"/>
    <col min="8719" max="8719" width="5.140625" style="513" customWidth="1"/>
    <col min="8720" max="8720" width="8.5703125" style="513" customWidth="1"/>
    <col min="8721" max="8721" width="9.5703125" style="513" customWidth="1"/>
    <col min="8722" max="8722" width="8.7109375" style="513" customWidth="1"/>
    <col min="8723" max="8723" width="9.28515625" style="513" customWidth="1"/>
    <col min="8724" max="8724" width="8.7109375" style="513" customWidth="1"/>
    <col min="8725" max="8725" width="9.28515625" style="513" customWidth="1"/>
    <col min="8726" max="8726" width="8.7109375" style="513" customWidth="1"/>
    <col min="8727" max="8727" width="9.28515625" style="513" customWidth="1"/>
    <col min="8728" max="8964" width="9.140625" style="513"/>
    <col min="8965" max="8965" width="1.42578125" style="513" customWidth="1"/>
    <col min="8966" max="8966" width="3.42578125" style="513" customWidth="1"/>
    <col min="8967" max="8967" width="11.42578125" style="513" customWidth="1"/>
    <col min="8968" max="8968" width="7.28515625" style="513" customWidth="1"/>
    <col min="8969" max="8969" width="14" style="513" customWidth="1"/>
    <col min="8970" max="8970" width="6.42578125" style="513" customWidth="1"/>
    <col min="8971" max="8971" width="4.5703125" style="513" customWidth="1"/>
    <col min="8972" max="8972" width="6.140625" style="513" customWidth="1"/>
    <col min="8973" max="8974" width="4.7109375" style="513" customWidth="1"/>
    <col min="8975" max="8975" width="5.140625" style="513" customWidth="1"/>
    <col min="8976" max="8976" width="8.5703125" style="513" customWidth="1"/>
    <col min="8977" max="8977" width="9.5703125" style="513" customWidth="1"/>
    <col min="8978" max="8978" width="8.7109375" style="513" customWidth="1"/>
    <col min="8979" max="8979" width="9.28515625" style="513" customWidth="1"/>
    <col min="8980" max="8980" width="8.7109375" style="513" customWidth="1"/>
    <col min="8981" max="8981" width="9.28515625" style="513" customWidth="1"/>
    <col min="8982" max="8982" width="8.7109375" style="513" customWidth="1"/>
    <col min="8983" max="8983" width="9.28515625" style="513" customWidth="1"/>
    <col min="8984" max="9220" width="9.140625" style="513"/>
    <col min="9221" max="9221" width="1.42578125" style="513" customWidth="1"/>
    <col min="9222" max="9222" width="3.42578125" style="513" customWidth="1"/>
    <col min="9223" max="9223" width="11.42578125" style="513" customWidth="1"/>
    <col min="9224" max="9224" width="7.28515625" style="513" customWidth="1"/>
    <col min="9225" max="9225" width="14" style="513" customWidth="1"/>
    <col min="9226" max="9226" width="6.42578125" style="513" customWidth="1"/>
    <col min="9227" max="9227" width="4.5703125" style="513" customWidth="1"/>
    <col min="9228" max="9228" width="6.140625" style="513" customWidth="1"/>
    <col min="9229" max="9230" width="4.7109375" style="513" customWidth="1"/>
    <col min="9231" max="9231" width="5.140625" style="513" customWidth="1"/>
    <col min="9232" max="9232" width="8.5703125" style="513" customWidth="1"/>
    <col min="9233" max="9233" width="9.5703125" style="513" customWidth="1"/>
    <col min="9234" max="9234" width="8.7109375" style="513" customWidth="1"/>
    <col min="9235" max="9235" width="9.28515625" style="513" customWidth="1"/>
    <col min="9236" max="9236" width="8.7109375" style="513" customWidth="1"/>
    <col min="9237" max="9237" width="9.28515625" style="513" customWidth="1"/>
    <col min="9238" max="9238" width="8.7109375" style="513" customWidth="1"/>
    <col min="9239" max="9239" width="9.28515625" style="513" customWidth="1"/>
    <col min="9240" max="9476" width="9.140625" style="513"/>
    <col min="9477" max="9477" width="1.42578125" style="513" customWidth="1"/>
    <col min="9478" max="9478" width="3.42578125" style="513" customWidth="1"/>
    <col min="9479" max="9479" width="11.42578125" style="513" customWidth="1"/>
    <col min="9480" max="9480" width="7.28515625" style="513" customWidth="1"/>
    <col min="9481" max="9481" width="14" style="513" customWidth="1"/>
    <col min="9482" max="9482" width="6.42578125" style="513" customWidth="1"/>
    <col min="9483" max="9483" width="4.5703125" style="513" customWidth="1"/>
    <col min="9484" max="9484" width="6.140625" style="513" customWidth="1"/>
    <col min="9485" max="9486" width="4.7109375" style="513" customWidth="1"/>
    <col min="9487" max="9487" width="5.140625" style="513" customWidth="1"/>
    <col min="9488" max="9488" width="8.5703125" style="513" customWidth="1"/>
    <col min="9489" max="9489" width="9.5703125" style="513" customWidth="1"/>
    <col min="9490" max="9490" width="8.7109375" style="513" customWidth="1"/>
    <col min="9491" max="9491" width="9.28515625" style="513" customWidth="1"/>
    <col min="9492" max="9492" width="8.7109375" style="513" customWidth="1"/>
    <col min="9493" max="9493" width="9.28515625" style="513" customWidth="1"/>
    <col min="9494" max="9494" width="8.7109375" style="513" customWidth="1"/>
    <col min="9495" max="9495" width="9.28515625" style="513" customWidth="1"/>
    <col min="9496" max="9732" width="9.140625" style="513"/>
    <col min="9733" max="9733" width="1.42578125" style="513" customWidth="1"/>
    <col min="9734" max="9734" width="3.42578125" style="513" customWidth="1"/>
    <col min="9735" max="9735" width="11.42578125" style="513" customWidth="1"/>
    <col min="9736" max="9736" width="7.28515625" style="513" customWidth="1"/>
    <col min="9737" max="9737" width="14" style="513" customWidth="1"/>
    <col min="9738" max="9738" width="6.42578125" style="513" customWidth="1"/>
    <col min="9739" max="9739" width="4.5703125" style="513" customWidth="1"/>
    <col min="9740" max="9740" width="6.140625" style="513" customWidth="1"/>
    <col min="9741" max="9742" width="4.7109375" style="513" customWidth="1"/>
    <col min="9743" max="9743" width="5.140625" style="513" customWidth="1"/>
    <col min="9744" max="9744" width="8.5703125" style="513" customWidth="1"/>
    <col min="9745" max="9745" width="9.5703125" style="513" customWidth="1"/>
    <col min="9746" max="9746" width="8.7109375" style="513" customWidth="1"/>
    <col min="9747" max="9747" width="9.28515625" style="513" customWidth="1"/>
    <col min="9748" max="9748" width="8.7109375" style="513" customWidth="1"/>
    <col min="9749" max="9749" width="9.28515625" style="513" customWidth="1"/>
    <col min="9750" max="9750" width="8.7109375" style="513" customWidth="1"/>
    <col min="9751" max="9751" width="9.28515625" style="513" customWidth="1"/>
    <col min="9752" max="9988" width="9.140625" style="513"/>
    <col min="9989" max="9989" width="1.42578125" style="513" customWidth="1"/>
    <col min="9990" max="9990" width="3.42578125" style="513" customWidth="1"/>
    <col min="9991" max="9991" width="11.42578125" style="513" customWidth="1"/>
    <col min="9992" max="9992" width="7.28515625" style="513" customWidth="1"/>
    <col min="9993" max="9993" width="14" style="513" customWidth="1"/>
    <col min="9994" max="9994" width="6.42578125" style="513" customWidth="1"/>
    <col min="9995" max="9995" width="4.5703125" style="513" customWidth="1"/>
    <col min="9996" max="9996" width="6.140625" style="513" customWidth="1"/>
    <col min="9997" max="9998" width="4.7109375" style="513" customWidth="1"/>
    <col min="9999" max="9999" width="5.140625" style="513" customWidth="1"/>
    <col min="10000" max="10000" width="8.5703125" style="513" customWidth="1"/>
    <col min="10001" max="10001" width="9.5703125" style="513" customWidth="1"/>
    <col min="10002" max="10002" width="8.7109375" style="513" customWidth="1"/>
    <col min="10003" max="10003" width="9.28515625" style="513" customWidth="1"/>
    <col min="10004" max="10004" width="8.7109375" style="513" customWidth="1"/>
    <col min="10005" max="10005" width="9.28515625" style="513" customWidth="1"/>
    <col min="10006" max="10006" width="8.7109375" style="513" customWidth="1"/>
    <col min="10007" max="10007" width="9.28515625" style="513" customWidth="1"/>
    <col min="10008" max="10244" width="9.140625" style="513"/>
    <col min="10245" max="10245" width="1.42578125" style="513" customWidth="1"/>
    <col min="10246" max="10246" width="3.42578125" style="513" customWidth="1"/>
    <col min="10247" max="10247" width="11.42578125" style="513" customWidth="1"/>
    <col min="10248" max="10248" width="7.28515625" style="513" customWidth="1"/>
    <col min="10249" max="10249" width="14" style="513" customWidth="1"/>
    <col min="10250" max="10250" width="6.42578125" style="513" customWidth="1"/>
    <col min="10251" max="10251" width="4.5703125" style="513" customWidth="1"/>
    <col min="10252" max="10252" width="6.140625" style="513" customWidth="1"/>
    <col min="10253" max="10254" width="4.7109375" style="513" customWidth="1"/>
    <col min="10255" max="10255" width="5.140625" style="513" customWidth="1"/>
    <col min="10256" max="10256" width="8.5703125" style="513" customWidth="1"/>
    <col min="10257" max="10257" width="9.5703125" style="513" customWidth="1"/>
    <col min="10258" max="10258" width="8.7109375" style="513" customWidth="1"/>
    <col min="10259" max="10259" width="9.28515625" style="513" customWidth="1"/>
    <col min="10260" max="10260" width="8.7109375" style="513" customWidth="1"/>
    <col min="10261" max="10261" width="9.28515625" style="513" customWidth="1"/>
    <col min="10262" max="10262" width="8.7109375" style="513" customWidth="1"/>
    <col min="10263" max="10263" width="9.28515625" style="513" customWidth="1"/>
    <col min="10264" max="10500" width="9.140625" style="513"/>
    <col min="10501" max="10501" width="1.42578125" style="513" customWidth="1"/>
    <col min="10502" max="10502" width="3.42578125" style="513" customWidth="1"/>
    <col min="10503" max="10503" width="11.42578125" style="513" customWidth="1"/>
    <col min="10504" max="10504" width="7.28515625" style="513" customWidth="1"/>
    <col min="10505" max="10505" width="14" style="513" customWidth="1"/>
    <col min="10506" max="10506" width="6.42578125" style="513" customWidth="1"/>
    <col min="10507" max="10507" width="4.5703125" style="513" customWidth="1"/>
    <col min="10508" max="10508" width="6.140625" style="513" customWidth="1"/>
    <col min="10509" max="10510" width="4.7109375" style="513" customWidth="1"/>
    <col min="10511" max="10511" width="5.140625" style="513" customWidth="1"/>
    <col min="10512" max="10512" width="8.5703125" style="513" customWidth="1"/>
    <col min="10513" max="10513" width="9.5703125" style="513" customWidth="1"/>
    <col min="10514" max="10514" width="8.7109375" style="513" customWidth="1"/>
    <col min="10515" max="10515" width="9.28515625" style="513" customWidth="1"/>
    <col min="10516" max="10516" width="8.7109375" style="513" customWidth="1"/>
    <col min="10517" max="10517" width="9.28515625" style="513" customWidth="1"/>
    <col min="10518" max="10518" width="8.7109375" style="513" customWidth="1"/>
    <col min="10519" max="10519" width="9.28515625" style="513" customWidth="1"/>
    <col min="10520" max="10756" width="9.140625" style="513"/>
    <col min="10757" max="10757" width="1.42578125" style="513" customWidth="1"/>
    <col min="10758" max="10758" width="3.42578125" style="513" customWidth="1"/>
    <col min="10759" max="10759" width="11.42578125" style="513" customWidth="1"/>
    <col min="10760" max="10760" width="7.28515625" style="513" customWidth="1"/>
    <col min="10761" max="10761" width="14" style="513" customWidth="1"/>
    <col min="10762" max="10762" width="6.42578125" style="513" customWidth="1"/>
    <col min="10763" max="10763" width="4.5703125" style="513" customWidth="1"/>
    <col min="10764" max="10764" width="6.140625" style="513" customWidth="1"/>
    <col min="10765" max="10766" width="4.7109375" style="513" customWidth="1"/>
    <col min="10767" max="10767" width="5.140625" style="513" customWidth="1"/>
    <col min="10768" max="10768" width="8.5703125" style="513" customWidth="1"/>
    <col min="10769" max="10769" width="9.5703125" style="513" customWidth="1"/>
    <col min="10770" max="10770" width="8.7109375" style="513" customWidth="1"/>
    <col min="10771" max="10771" width="9.28515625" style="513" customWidth="1"/>
    <col min="10772" max="10772" width="8.7109375" style="513" customWidth="1"/>
    <col min="10773" max="10773" width="9.28515625" style="513" customWidth="1"/>
    <col min="10774" max="10774" width="8.7109375" style="513" customWidth="1"/>
    <col min="10775" max="10775" width="9.28515625" style="513" customWidth="1"/>
    <col min="10776" max="11012" width="9.140625" style="513"/>
    <col min="11013" max="11013" width="1.42578125" style="513" customWidth="1"/>
    <col min="11014" max="11014" width="3.42578125" style="513" customWidth="1"/>
    <col min="11015" max="11015" width="11.42578125" style="513" customWidth="1"/>
    <col min="11016" max="11016" width="7.28515625" style="513" customWidth="1"/>
    <col min="11017" max="11017" width="14" style="513" customWidth="1"/>
    <col min="11018" max="11018" width="6.42578125" style="513" customWidth="1"/>
    <col min="11019" max="11019" width="4.5703125" style="513" customWidth="1"/>
    <col min="11020" max="11020" width="6.140625" style="513" customWidth="1"/>
    <col min="11021" max="11022" width="4.7109375" style="513" customWidth="1"/>
    <col min="11023" max="11023" width="5.140625" style="513" customWidth="1"/>
    <col min="11024" max="11024" width="8.5703125" style="513" customWidth="1"/>
    <col min="11025" max="11025" width="9.5703125" style="513" customWidth="1"/>
    <col min="11026" max="11026" width="8.7109375" style="513" customWidth="1"/>
    <col min="11027" max="11027" width="9.28515625" style="513" customWidth="1"/>
    <col min="11028" max="11028" width="8.7109375" style="513" customWidth="1"/>
    <col min="11029" max="11029" width="9.28515625" style="513" customWidth="1"/>
    <col min="11030" max="11030" width="8.7109375" style="513" customWidth="1"/>
    <col min="11031" max="11031" width="9.28515625" style="513" customWidth="1"/>
    <col min="11032" max="11268" width="9.140625" style="513"/>
    <col min="11269" max="11269" width="1.42578125" style="513" customWidth="1"/>
    <col min="11270" max="11270" width="3.42578125" style="513" customWidth="1"/>
    <col min="11271" max="11271" width="11.42578125" style="513" customWidth="1"/>
    <col min="11272" max="11272" width="7.28515625" style="513" customWidth="1"/>
    <col min="11273" max="11273" width="14" style="513" customWidth="1"/>
    <col min="11274" max="11274" width="6.42578125" style="513" customWidth="1"/>
    <col min="11275" max="11275" width="4.5703125" style="513" customWidth="1"/>
    <col min="11276" max="11276" width="6.140625" style="513" customWidth="1"/>
    <col min="11277" max="11278" width="4.7109375" style="513" customWidth="1"/>
    <col min="11279" max="11279" width="5.140625" style="513" customWidth="1"/>
    <col min="11280" max="11280" width="8.5703125" style="513" customWidth="1"/>
    <col min="11281" max="11281" width="9.5703125" style="513" customWidth="1"/>
    <col min="11282" max="11282" width="8.7109375" style="513" customWidth="1"/>
    <col min="11283" max="11283" width="9.28515625" style="513" customWidth="1"/>
    <col min="11284" max="11284" width="8.7109375" style="513" customWidth="1"/>
    <col min="11285" max="11285" width="9.28515625" style="513" customWidth="1"/>
    <col min="11286" max="11286" width="8.7109375" style="513" customWidth="1"/>
    <col min="11287" max="11287" width="9.28515625" style="513" customWidth="1"/>
    <col min="11288" max="11524" width="9.140625" style="513"/>
    <col min="11525" max="11525" width="1.42578125" style="513" customWidth="1"/>
    <col min="11526" max="11526" width="3.42578125" style="513" customWidth="1"/>
    <col min="11527" max="11527" width="11.42578125" style="513" customWidth="1"/>
    <col min="11528" max="11528" width="7.28515625" style="513" customWidth="1"/>
    <col min="11529" max="11529" width="14" style="513" customWidth="1"/>
    <col min="11530" max="11530" width="6.42578125" style="513" customWidth="1"/>
    <col min="11531" max="11531" width="4.5703125" style="513" customWidth="1"/>
    <col min="11532" max="11532" width="6.140625" style="513" customWidth="1"/>
    <col min="11533" max="11534" width="4.7109375" style="513" customWidth="1"/>
    <col min="11535" max="11535" width="5.140625" style="513" customWidth="1"/>
    <col min="11536" max="11536" width="8.5703125" style="513" customWidth="1"/>
    <col min="11537" max="11537" width="9.5703125" style="513" customWidth="1"/>
    <col min="11538" max="11538" width="8.7109375" style="513" customWidth="1"/>
    <col min="11539" max="11539" width="9.28515625" style="513" customWidth="1"/>
    <col min="11540" max="11540" width="8.7109375" style="513" customWidth="1"/>
    <col min="11541" max="11541" width="9.28515625" style="513" customWidth="1"/>
    <col min="11542" max="11542" width="8.7109375" style="513" customWidth="1"/>
    <col min="11543" max="11543" width="9.28515625" style="513" customWidth="1"/>
    <col min="11544" max="11780" width="9.140625" style="513"/>
    <col min="11781" max="11781" width="1.42578125" style="513" customWidth="1"/>
    <col min="11782" max="11782" width="3.42578125" style="513" customWidth="1"/>
    <col min="11783" max="11783" width="11.42578125" style="513" customWidth="1"/>
    <col min="11784" max="11784" width="7.28515625" style="513" customWidth="1"/>
    <col min="11785" max="11785" width="14" style="513" customWidth="1"/>
    <col min="11786" max="11786" width="6.42578125" style="513" customWidth="1"/>
    <col min="11787" max="11787" width="4.5703125" style="513" customWidth="1"/>
    <col min="11788" max="11788" width="6.140625" style="513" customWidth="1"/>
    <col min="11789" max="11790" width="4.7109375" style="513" customWidth="1"/>
    <col min="11791" max="11791" width="5.140625" style="513" customWidth="1"/>
    <col min="11792" max="11792" width="8.5703125" style="513" customWidth="1"/>
    <col min="11793" max="11793" width="9.5703125" style="513" customWidth="1"/>
    <col min="11794" max="11794" width="8.7109375" style="513" customWidth="1"/>
    <col min="11795" max="11795" width="9.28515625" style="513" customWidth="1"/>
    <col min="11796" max="11796" width="8.7109375" style="513" customWidth="1"/>
    <col min="11797" max="11797" width="9.28515625" style="513" customWidth="1"/>
    <col min="11798" max="11798" width="8.7109375" style="513" customWidth="1"/>
    <col min="11799" max="11799" width="9.28515625" style="513" customWidth="1"/>
    <col min="11800" max="12036" width="9.140625" style="513"/>
    <col min="12037" max="12037" width="1.42578125" style="513" customWidth="1"/>
    <col min="12038" max="12038" width="3.42578125" style="513" customWidth="1"/>
    <col min="12039" max="12039" width="11.42578125" style="513" customWidth="1"/>
    <col min="12040" max="12040" width="7.28515625" style="513" customWidth="1"/>
    <col min="12041" max="12041" width="14" style="513" customWidth="1"/>
    <col min="12042" max="12042" width="6.42578125" style="513" customWidth="1"/>
    <col min="12043" max="12043" width="4.5703125" style="513" customWidth="1"/>
    <col min="12044" max="12044" width="6.140625" style="513" customWidth="1"/>
    <col min="12045" max="12046" width="4.7109375" style="513" customWidth="1"/>
    <col min="12047" max="12047" width="5.140625" style="513" customWidth="1"/>
    <col min="12048" max="12048" width="8.5703125" style="513" customWidth="1"/>
    <col min="12049" max="12049" width="9.5703125" style="513" customWidth="1"/>
    <col min="12050" max="12050" width="8.7109375" style="513" customWidth="1"/>
    <col min="12051" max="12051" width="9.28515625" style="513" customWidth="1"/>
    <col min="12052" max="12052" width="8.7109375" style="513" customWidth="1"/>
    <col min="12053" max="12053" width="9.28515625" style="513" customWidth="1"/>
    <col min="12054" max="12054" width="8.7109375" style="513" customWidth="1"/>
    <col min="12055" max="12055" width="9.28515625" style="513" customWidth="1"/>
    <col min="12056" max="12292" width="9.140625" style="513"/>
    <col min="12293" max="12293" width="1.42578125" style="513" customWidth="1"/>
    <col min="12294" max="12294" width="3.42578125" style="513" customWidth="1"/>
    <col min="12295" max="12295" width="11.42578125" style="513" customWidth="1"/>
    <col min="12296" max="12296" width="7.28515625" style="513" customWidth="1"/>
    <col min="12297" max="12297" width="14" style="513" customWidth="1"/>
    <col min="12298" max="12298" width="6.42578125" style="513" customWidth="1"/>
    <col min="12299" max="12299" width="4.5703125" style="513" customWidth="1"/>
    <col min="12300" max="12300" width="6.140625" style="513" customWidth="1"/>
    <col min="12301" max="12302" width="4.7109375" style="513" customWidth="1"/>
    <col min="12303" max="12303" width="5.140625" style="513" customWidth="1"/>
    <col min="12304" max="12304" width="8.5703125" style="513" customWidth="1"/>
    <col min="12305" max="12305" width="9.5703125" style="513" customWidth="1"/>
    <col min="12306" max="12306" width="8.7109375" style="513" customWidth="1"/>
    <col min="12307" max="12307" width="9.28515625" style="513" customWidth="1"/>
    <col min="12308" max="12308" width="8.7109375" style="513" customWidth="1"/>
    <col min="12309" max="12309" width="9.28515625" style="513" customWidth="1"/>
    <col min="12310" max="12310" width="8.7109375" style="513" customWidth="1"/>
    <col min="12311" max="12311" width="9.28515625" style="513" customWidth="1"/>
    <col min="12312" max="12548" width="9.140625" style="513"/>
    <col min="12549" max="12549" width="1.42578125" style="513" customWidth="1"/>
    <col min="12550" max="12550" width="3.42578125" style="513" customWidth="1"/>
    <col min="12551" max="12551" width="11.42578125" style="513" customWidth="1"/>
    <col min="12552" max="12552" width="7.28515625" style="513" customWidth="1"/>
    <col min="12553" max="12553" width="14" style="513" customWidth="1"/>
    <col min="12554" max="12554" width="6.42578125" style="513" customWidth="1"/>
    <col min="12555" max="12555" width="4.5703125" style="513" customWidth="1"/>
    <col min="12556" max="12556" width="6.140625" style="513" customWidth="1"/>
    <col min="12557" max="12558" width="4.7109375" style="513" customWidth="1"/>
    <col min="12559" max="12559" width="5.140625" style="513" customWidth="1"/>
    <col min="12560" max="12560" width="8.5703125" style="513" customWidth="1"/>
    <col min="12561" max="12561" width="9.5703125" style="513" customWidth="1"/>
    <col min="12562" max="12562" width="8.7109375" style="513" customWidth="1"/>
    <col min="12563" max="12563" width="9.28515625" style="513" customWidth="1"/>
    <col min="12564" max="12564" width="8.7109375" style="513" customWidth="1"/>
    <col min="12565" max="12565" width="9.28515625" style="513" customWidth="1"/>
    <col min="12566" max="12566" width="8.7109375" style="513" customWidth="1"/>
    <col min="12567" max="12567" width="9.28515625" style="513" customWidth="1"/>
    <col min="12568" max="12804" width="9.140625" style="513"/>
    <col min="12805" max="12805" width="1.42578125" style="513" customWidth="1"/>
    <col min="12806" max="12806" width="3.42578125" style="513" customWidth="1"/>
    <col min="12807" max="12807" width="11.42578125" style="513" customWidth="1"/>
    <col min="12808" max="12808" width="7.28515625" style="513" customWidth="1"/>
    <col min="12809" max="12809" width="14" style="513" customWidth="1"/>
    <col min="12810" max="12810" width="6.42578125" style="513" customWidth="1"/>
    <col min="12811" max="12811" width="4.5703125" style="513" customWidth="1"/>
    <col min="12812" max="12812" width="6.140625" style="513" customWidth="1"/>
    <col min="12813" max="12814" width="4.7109375" style="513" customWidth="1"/>
    <col min="12815" max="12815" width="5.140625" style="513" customWidth="1"/>
    <col min="12816" max="12816" width="8.5703125" style="513" customWidth="1"/>
    <col min="12817" max="12817" width="9.5703125" style="513" customWidth="1"/>
    <col min="12818" max="12818" width="8.7109375" style="513" customWidth="1"/>
    <col min="12819" max="12819" width="9.28515625" style="513" customWidth="1"/>
    <col min="12820" max="12820" width="8.7109375" style="513" customWidth="1"/>
    <col min="12821" max="12821" width="9.28515625" style="513" customWidth="1"/>
    <col min="12822" max="12822" width="8.7109375" style="513" customWidth="1"/>
    <col min="12823" max="12823" width="9.28515625" style="513" customWidth="1"/>
    <col min="12824" max="13060" width="9.140625" style="513"/>
    <col min="13061" max="13061" width="1.42578125" style="513" customWidth="1"/>
    <col min="13062" max="13062" width="3.42578125" style="513" customWidth="1"/>
    <col min="13063" max="13063" width="11.42578125" style="513" customWidth="1"/>
    <col min="13064" max="13064" width="7.28515625" style="513" customWidth="1"/>
    <col min="13065" max="13065" width="14" style="513" customWidth="1"/>
    <col min="13066" max="13066" width="6.42578125" style="513" customWidth="1"/>
    <col min="13067" max="13067" width="4.5703125" style="513" customWidth="1"/>
    <col min="13068" max="13068" width="6.140625" style="513" customWidth="1"/>
    <col min="13069" max="13070" width="4.7109375" style="513" customWidth="1"/>
    <col min="13071" max="13071" width="5.140625" style="513" customWidth="1"/>
    <col min="13072" max="13072" width="8.5703125" style="513" customWidth="1"/>
    <col min="13073" max="13073" width="9.5703125" style="513" customWidth="1"/>
    <col min="13074" max="13074" width="8.7109375" style="513" customWidth="1"/>
    <col min="13075" max="13075" width="9.28515625" style="513" customWidth="1"/>
    <col min="13076" max="13076" width="8.7109375" style="513" customWidth="1"/>
    <col min="13077" max="13077" width="9.28515625" style="513" customWidth="1"/>
    <col min="13078" max="13078" width="8.7109375" style="513" customWidth="1"/>
    <col min="13079" max="13079" width="9.28515625" style="513" customWidth="1"/>
    <col min="13080" max="13316" width="9.140625" style="513"/>
    <col min="13317" max="13317" width="1.42578125" style="513" customWidth="1"/>
    <col min="13318" max="13318" width="3.42578125" style="513" customWidth="1"/>
    <col min="13319" max="13319" width="11.42578125" style="513" customWidth="1"/>
    <col min="13320" max="13320" width="7.28515625" style="513" customWidth="1"/>
    <col min="13321" max="13321" width="14" style="513" customWidth="1"/>
    <col min="13322" max="13322" width="6.42578125" style="513" customWidth="1"/>
    <col min="13323" max="13323" width="4.5703125" style="513" customWidth="1"/>
    <col min="13324" max="13324" width="6.140625" style="513" customWidth="1"/>
    <col min="13325" max="13326" width="4.7109375" style="513" customWidth="1"/>
    <col min="13327" max="13327" width="5.140625" style="513" customWidth="1"/>
    <col min="13328" max="13328" width="8.5703125" style="513" customWidth="1"/>
    <col min="13329" max="13329" width="9.5703125" style="513" customWidth="1"/>
    <col min="13330" max="13330" width="8.7109375" style="513" customWidth="1"/>
    <col min="13331" max="13331" width="9.28515625" style="513" customWidth="1"/>
    <col min="13332" max="13332" width="8.7109375" style="513" customWidth="1"/>
    <col min="13333" max="13333" width="9.28515625" style="513" customWidth="1"/>
    <col min="13334" max="13334" width="8.7109375" style="513" customWidth="1"/>
    <col min="13335" max="13335" width="9.28515625" style="513" customWidth="1"/>
    <col min="13336" max="13572" width="9.140625" style="513"/>
    <col min="13573" max="13573" width="1.42578125" style="513" customWidth="1"/>
    <col min="13574" max="13574" width="3.42578125" style="513" customWidth="1"/>
    <col min="13575" max="13575" width="11.42578125" style="513" customWidth="1"/>
    <col min="13576" max="13576" width="7.28515625" style="513" customWidth="1"/>
    <col min="13577" max="13577" width="14" style="513" customWidth="1"/>
    <col min="13578" max="13578" width="6.42578125" style="513" customWidth="1"/>
    <col min="13579" max="13579" width="4.5703125" style="513" customWidth="1"/>
    <col min="13580" max="13580" width="6.140625" style="513" customWidth="1"/>
    <col min="13581" max="13582" width="4.7109375" style="513" customWidth="1"/>
    <col min="13583" max="13583" width="5.140625" style="513" customWidth="1"/>
    <col min="13584" max="13584" width="8.5703125" style="513" customWidth="1"/>
    <col min="13585" max="13585" width="9.5703125" style="513" customWidth="1"/>
    <col min="13586" max="13586" width="8.7109375" style="513" customWidth="1"/>
    <col min="13587" max="13587" width="9.28515625" style="513" customWidth="1"/>
    <col min="13588" max="13588" width="8.7109375" style="513" customWidth="1"/>
    <col min="13589" max="13589" width="9.28515625" style="513" customWidth="1"/>
    <col min="13590" max="13590" width="8.7109375" style="513" customWidth="1"/>
    <col min="13591" max="13591" width="9.28515625" style="513" customWidth="1"/>
    <col min="13592" max="13828" width="9.140625" style="513"/>
    <col min="13829" max="13829" width="1.42578125" style="513" customWidth="1"/>
    <col min="13830" max="13830" width="3.42578125" style="513" customWidth="1"/>
    <col min="13831" max="13831" width="11.42578125" style="513" customWidth="1"/>
    <col min="13832" max="13832" width="7.28515625" style="513" customWidth="1"/>
    <col min="13833" max="13833" width="14" style="513" customWidth="1"/>
    <col min="13834" max="13834" width="6.42578125" style="513" customWidth="1"/>
    <col min="13835" max="13835" width="4.5703125" style="513" customWidth="1"/>
    <col min="13836" max="13836" width="6.140625" style="513" customWidth="1"/>
    <col min="13837" max="13838" width="4.7109375" style="513" customWidth="1"/>
    <col min="13839" max="13839" width="5.140625" style="513" customWidth="1"/>
    <col min="13840" max="13840" width="8.5703125" style="513" customWidth="1"/>
    <col min="13841" max="13841" width="9.5703125" style="513" customWidth="1"/>
    <col min="13842" max="13842" width="8.7109375" style="513" customWidth="1"/>
    <col min="13843" max="13843" width="9.28515625" style="513" customWidth="1"/>
    <col min="13844" max="13844" width="8.7109375" style="513" customWidth="1"/>
    <col min="13845" max="13845" width="9.28515625" style="513" customWidth="1"/>
    <col min="13846" max="13846" width="8.7109375" style="513" customWidth="1"/>
    <col min="13847" max="13847" width="9.28515625" style="513" customWidth="1"/>
    <col min="13848" max="14084" width="9.140625" style="513"/>
    <col min="14085" max="14085" width="1.42578125" style="513" customWidth="1"/>
    <col min="14086" max="14086" width="3.42578125" style="513" customWidth="1"/>
    <col min="14087" max="14087" width="11.42578125" style="513" customWidth="1"/>
    <col min="14088" max="14088" width="7.28515625" style="513" customWidth="1"/>
    <col min="14089" max="14089" width="14" style="513" customWidth="1"/>
    <col min="14090" max="14090" width="6.42578125" style="513" customWidth="1"/>
    <col min="14091" max="14091" width="4.5703125" style="513" customWidth="1"/>
    <col min="14092" max="14092" width="6.140625" style="513" customWidth="1"/>
    <col min="14093" max="14094" width="4.7109375" style="513" customWidth="1"/>
    <col min="14095" max="14095" width="5.140625" style="513" customWidth="1"/>
    <col min="14096" max="14096" width="8.5703125" style="513" customWidth="1"/>
    <col min="14097" max="14097" width="9.5703125" style="513" customWidth="1"/>
    <col min="14098" max="14098" width="8.7109375" style="513" customWidth="1"/>
    <col min="14099" max="14099" width="9.28515625" style="513" customWidth="1"/>
    <col min="14100" max="14100" width="8.7109375" style="513" customWidth="1"/>
    <col min="14101" max="14101" width="9.28515625" style="513" customWidth="1"/>
    <col min="14102" max="14102" width="8.7109375" style="513" customWidth="1"/>
    <col min="14103" max="14103" width="9.28515625" style="513" customWidth="1"/>
    <col min="14104" max="14340" width="9.140625" style="513"/>
    <col min="14341" max="14341" width="1.42578125" style="513" customWidth="1"/>
    <col min="14342" max="14342" width="3.42578125" style="513" customWidth="1"/>
    <col min="14343" max="14343" width="11.42578125" style="513" customWidth="1"/>
    <col min="14344" max="14344" width="7.28515625" style="513" customWidth="1"/>
    <col min="14345" max="14345" width="14" style="513" customWidth="1"/>
    <col min="14346" max="14346" width="6.42578125" style="513" customWidth="1"/>
    <col min="14347" max="14347" width="4.5703125" style="513" customWidth="1"/>
    <col min="14348" max="14348" width="6.140625" style="513" customWidth="1"/>
    <col min="14349" max="14350" width="4.7109375" style="513" customWidth="1"/>
    <col min="14351" max="14351" width="5.140625" style="513" customWidth="1"/>
    <col min="14352" max="14352" width="8.5703125" style="513" customWidth="1"/>
    <col min="14353" max="14353" width="9.5703125" style="513" customWidth="1"/>
    <col min="14354" max="14354" width="8.7109375" style="513" customWidth="1"/>
    <col min="14355" max="14355" width="9.28515625" style="513" customWidth="1"/>
    <col min="14356" max="14356" width="8.7109375" style="513" customWidth="1"/>
    <col min="14357" max="14357" width="9.28515625" style="513" customWidth="1"/>
    <col min="14358" max="14358" width="8.7109375" style="513" customWidth="1"/>
    <col min="14359" max="14359" width="9.28515625" style="513" customWidth="1"/>
    <col min="14360" max="14596" width="9.140625" style="513"/>
    <col min="14597" max="14597" width="1.42578125" style="513" customWidth="1"/>
    <col min="14598" max="14598" width="3.42578125" style="513" customWidth="1"/>
    <col min="14599" max="14599" width="11.42578125" style="513" customWidth="1"/>
    <col min="14600" max="14600" width="7.28515625" style="513" customWidth="1"/>
    <col min="14601" max="14601" width="14" style="513" customWidth="1"/>
    <col min="14602" max="14602" width="6.42578125" style="513" customWidth="1"/>
    <col min="14603" max="14603" width="4.5703125" style="513" customWidth="1"/>
    <col min="14604" max="14604" width="6.140625" style="513" customWidth="1"/>
    <col min="14605" max="14606" width="4.7109375" style="513" customWidth="1"/>
    <col min="14607" max="14607" width="5.140625" style="513" customWidth="1"/>
    <col min="14608" max="14608" width="8.5703125" style="513" customWidth="1"/>
    <col min="14609" max="14609" width="9.5703125" style="513" customWidth="1"/>
    <col min="14610" max="14610" width="8.7109375" style="513" customWidth="1"/>
    <col min="14611" max="14611" width="9.28515625" style="513" customWidth="1"/>
    <col min="14612" max="14612" width="8.7109375" style="513" customWidth="1"/>
    <col min="14613" max="14613" width="9.28515625" style="513" customWidth="1"/>
    <col min="14614" max="14614" width="8.7109375" style="513" customWidth="1"/>
    <col min="14615" max="14615" width="9.28515625" style="513" customWidth="1"/>
    <col min="14616" max="14852" width="9.140625" style="513"/>
    <col min="14853" max="14853" width="1.42578125" style="513" customWidth="1"/>
    <col min="14854" max="14854" width="3.42578125" style="513" customWidth="1"/>
    <col min="14855" max="14855" width="11.42578125" style="513" customWidth="1"/>
    <col min="14856" max="14856" width="7.28515625" style="513" customWidth="1"/>
    <col min="14857" max="14857" width="14" style="513" customWidth="1"/>
    <col min="14858" max="14858" width="6.42578125" style="513" customWidth="1"/>
    <col min="14859" max="14859" width="4.5703125" style="513" customWidth="1"/>
    <col min="14860" max="14860" width="6.140625" style="513" customWidth="1"/>
    <col min="14861" max="14862" width="4.7109375" style="513" customWidth="1"/>
    <col min="14863" max="14863" width="5.140625" style="513" customWidth="1"/>
    <col min="14864" max="14864" width="8.5703125" style="513" customWidth="1"/>
    <col min="14865" max="14865" width="9.5703125" style="513" customWidth="1"/>
    <col min="14866" max="14866" width="8.7109375" style="513" customWidth="1"/>
    <col min="14867" max="14867" width="9.28515625" style="513" customWidth="1"/>
    <col min="14868" max="14868" width="8.7109375" style="513" customWidth="1"/>
    <col min="14869" max="14869" width="9.28515625" style="513" customWidth="1"/>
    <col min="14870" max="14870" width="8.7109375" style="513" customWidth="1"/>
    <col min="14871" max="14871" width="9.28515625" style="513" customWidth="1"/>
    <col min="14872" max="15108" width="9.140625" style="513"/>
    <col min="15109" max="15109" width="1.42578125" style="513" customWidth="1"/>
    <col min="15110" max="15110" width="3.42578125" style="513" customWidth="1"/>
    <col min="15111" max="15111" width="11.42578125" style="513" customWidth="1"/>
    <col min="15112" max="15112" width="7.28515625" style="513" customWidth="1"/>
    <col min="15113" max="15113" width="14" style="513" customWidth="1"/>
    <col min="15114" max="15114" width="6.42578125" style="513" customWidth="1"/>
    <col min="15115" max="15115" width="4.5703125" style="513" customWidth="1"/>
    <col min="15116" max="15116" width="6.140625" style="513" customWidth="1"/>
    <col min="15117" max="15118" width="4.7109375" style="513" customWidth="1"/>
    <col min="15119" max="15119" width="5.140625" style="513" customWidth="1"/>
    <col min="15120" max="15120" width="8.5703125" style="513" customWidth="1"/>
    <col min="15121" max="15121" width="9.5703125" style="513" customWidth="1"/>
    <col min="15122" max="15122" width="8.7109375" style="513" customWidth="1"/>
    <col min="15123" max="15123" width="9.28515625" style="513" customWidth="1"/>
    <col min="15124" max="15124" width="8.7109375" style="513" customWidth="1"/>
    <col min="15125" max="15125" width="9.28515625" style="513" customWidth="1"/>
    <col min="15126" max="15126" width="8.7109375" style="513" customWidth="1"/>
    <col min="15127" max="15127" width="9.28515625" style="513" customWidth="1"/>
    <col min="15128" max="15364" width="9.140625" style="513"/>
    <col min="15365" max="15365" width="1.42578125" style="513" customWidth="1"/>
    <col min="15366" max="15366" width="3.42578125" style="513" customWidth="1"/>
    <col min="15367" max="15367" width="11.42578125" style="513" customWidth="1"/>
    <col min="15368" max="15368" width="7.28515625" style="513" customWidth="1"/>
    <col min="15369" max="15369" width="14" style="513" customWidth="1"/>
    <col min="15370" max="15370" width="6.42578125" style="513" customWidth="1"/>
    <col min="15371" max="15371" width="4.5703125" style="513" customWidth="1"/>
    <col min="15372" max="15372" width="6.140625" style="513" customWidth="1"/>
    <col min="15373" max="15374" width="4.7109375" style="513" customWidth="1"/>
    <col min="15375" max="15375" width="5.140625" style="513" customWidth="1"/>
    <col min="15376" max="15376" width="8.5703125" style="513" customWidth="1"/>
    <col min="15377" max="15377" width="9.5703125" style="513" customWidth="1"/>
    <col min="15378" max="15378" width="8.7109375" style="513" customWidth="1"/>
    <col min="15379" max="15379" width="9.28515625" style="513" customWidth="1"/>
    <col min="15380" max="15380" width="8.7109375" style="513" customWidth="1"/>
    <col min="15381" max="15381" width="9.28515625" style="513" customWidth="1"/>
    <col min="15382" max="15382" width="8.7109375" style="513" customWidth="1"/>
    <col min="15383" max="15383" width="9.28515625" style="513" customWidth="1"/>
    <col min="15384" max="15620" width="9.140625" style="513"/>
    <col min="15621" max="15621" width="1.42578125" style="513" customWidth="1"/>
    <col min="15622" max="15622" width="3.42578125" style="513" customWidth="1"/>
    <col min="15623" max="15623" width="11.42578125" style="513" customWidth="1"/>
    <col min="15624" max="15624" width="7.28515625" style="513" customWidth="1"/>
    <col min="15625" max="15625" width="14" style="513" customWidth="1"/>
    <col min="15626" max="15626" width="6.42578125" style="513" customWidth="1"/>
    <col min="15627" max="15627" width="4.5703125" style="513" customWidth="1"/>
    <col min="15628" max="15628" width="6.140625" style="513" customWidth="1"/>
    <col min="15629" max="15630" width="4.7109375" style="513" customWidth="1"/>
    <col min="15631" max="15631" width="5.140625" style="513" customWidth="1"/>
    <col min="15632" max="15632" width="8.5703125" style="513" customWidth="1"/>
    <col min="15633" max="15633" width="9.5703125" style="513" customWidth="1"/>
    <col min="15634" max="15634" width="8.7109375" style="513" customWidth="1"/>
    <col min="15635" max="15635" width="9.28515625" style="513" customWidth="1"/>
    <col min="15636" max="15636" width="8.7109375" style="513" customWidth="1"/>
    <col min="15637" max="15637" width="9.28515625" style="513" customWidth="1"/>
    <col min="15638" max="15638" width="8.7109375" style="513" customWidth="1"/>
    <col min="15639" max="15639" width="9.28515625" style="513" customWidth="1"/>
    <col min="15640" max="15876" width="9.140625" style="513"/>
    <col min="15877" max="15877" width="1.42578125" style="513" customWidth="1"/>
    <col min="15878" max="15878" width="3.42578125" style="513" customWidth="1"/>
    <col min="15879" max="15879" width="11.42578125" style="513" customWidth="1"/>
    <col min="15880" max="15880" width="7.28515625" style="513" customWidth="1"/>
    <col min="15881" max="15881" width="14" style="513" customWidth="1"/>
    <col min="15882" max="15882" width="6.42578125" style="513" customWidth="1"/>
    <col min="15883" max="15883" width="4.5703125" style="513" customWidth="1"/>
    <col min="15884" max="15884" width="6.140625" style="513" customWidth="1"/>
    <col min="15885" max="15886" width="4.7109375" style="513" customWidth="1"/>
    <col min="15887" max="15887" width="5.140625" style="513" customWidth="1"/>
    <col min="15888" max="15888" width="8.5703125" style="513" customWidth="1"/>
    <col min="15889" max="15889" width="9.5703125" style="513" customWidth="1"/>
    <col min="15890" max="15890" width="8.7109375" style="513" customWidth="1"/>
    <col min="15891" max="15891" width="9.28515625" style="513" customWidth="1"/>
    <col min="15892" max="15892" width="8.7109375" style="513" customWidth="1"/>
    <col min="15893" max="15893" width="9.28515625" style="513" customWidth="1"/>
    <col min="15894" max="15894" width="8.7109375" style="513" customWidth="1"/>
    <col min="15895" max="15895" width="9.28515625" style="513" customWidth="1"/>
    <col min="15896" max="16132" width="9.140625" style="513"/>
    <col min="16133" max="16133" width="1.42578125" style="513" customWidth="1"/>
    <col min="16134" max="16134" width="3.42578125" style="513" customWidth="1"/>
    <col min="16135" max="16135" width="11.42578125" style="513" customWidth="1"/>
    <col min="16136" max="16136" width="7.28515625" style="513" customWidth="1"/>
    <col min="16137" max="16137" width="14" style="513" customWidth="1"/>
    <col min="16138" max="16138" width="6.42578125" style="513" customWidth="1"/>
    <col min="16139" max="16139" width="4.5703125" style="513" customWidth="1"/>
    <col min="16140" max="16140" width="6.140625" style="513" customWidth="1"/>
    <col min="16141" max="16142" width="4.7109375" style="513" customWidth="1"/>
    <col min="16143" max="16143" width="5.140625" style="513" customWidth="1"/>
    <col min="16144" max="16144" width="8.5703125" style="513" customWidth="1"/>
    <col min="16145" max="16145" width="9.5703125" style="513" customWidth="1"/>
    <col min="16146" max="16146" width="8.7109375" style="513" customWidth="1"/>
    <col min="16147" max="16147" width="9.28515625" style="513" customWidth="1"/>
    <col min="16148" max="16148" width="8.7109375" style="513" customWidth="1"/>
    <col min="16149" max="16149" width="9.28515625" style="513" customWidth="1"/>
    <col min="16150" max="16150" width="8.7109375" style="513" customWidth="1"/>
    <col min="16151" max="16151" width="9.28515625" style="513" customWidth="1"/>
    <col min="16152" max="16384" width="9.140625" style="513"/>
  </cols>
  <sheetData>
    <row r="1" spans="1:23" s="510" customFormat="1" ht="11.25" customHeight="1" x14ac:dyDescent="0.2"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2" t="s">
        <v>787</v>
      </c>
    </row>
    <row r="2" spans="1:23" s="510" customFormat="1" ht="9.75" customHeight="1" x14ac:dyDescent="0.2"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2"/>
      <c r="W2" s="512" t="s">
        <v>192</v>
      </c>
    </row>
    <row r="3" spans="1:23" s="510" customFormat="1" ht="9.75" customHeight="1" x14ac:dyDescent="0.2"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2"/>
      <c r="W3" s="512" t="s">
        <v>788</v>
      </c>
    </row>
    <row r="4" spans="1:23" ht="6.75" customHeight="1" x14ac:dyDescent="0.15"/>
    <row r="5" spans="1:23" s="515" customFormat="1" ht="12" x14ac:dyDescent="0.2">
      <c r="H5" s="516" t="s">
        <v>789</v>
      </c>
      <c r="I5" s="517"/>
      <c r="J5" s="518" t="s">
        <v>790</v>
      </c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9"/>
    </row>
    <row r="6" spans="1:23" s="510" customFormat="1" ht="6" customHeight="1" x14ac:dyDescent="0.2"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</row>
    <row r="7" spans="1:23" s="510" customFormat="1" ht="10.5" x14ac:dyDescent="0.2">
      <c r="A7" s="520" t="s">
        <v>791</v>
      </c>
      <c r="B7" s="520"/>
      <c r="C7" s="520"/>
      <c r="D7" s="848" t="s">
        <v>792</v>
      </c>
      <c r="E7" s="848"/>
      <c r="F7" s="848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</row>
    <row r="8" spans="1:23" s="510" customFormat="1" ht="9" customHeight="1" x14ac:dyDescent="0.2">
      <c r="A8" s="520"/>
      <c r="B8" s="520"/>
      <c r="C8" s="520"/>
      <c r="D8" s="849" t="s">
        <v>2</v>
      </c>
      <c r="E8" s="849"/>
      <c r="F8" s="849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</row>
    <row r="9" spans="1:23" s="510" customFormat="1" ht="10.5" x14ac:dyDescent="0.2">
      <c r="A9" s="520"/>
      <c r="B9" s="520"/>
      <c r="D9" s="512" t="s">
        <v>793</v>
      </c>
      <c r="E9" s="848" t="s">
        <v>36</v>
      </c>
      <c r="F9" s="848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</row>
    <row r="10" spans="1:23" s="510" customFormat="1" ht="10.5" x14ac:dyDescent="0.2">
      <c r="A10" s="520"/>
      <c r="B10" s="520"/>
      <c r="D10" s="520"/>
      <c r="E10" s="512" t="s">
        <v>794</v>
      </c>
      <c r="F10" s="521" t="s">
        <v>1419</v>
      </c>
      <c r="G10" s="520" t="s">
        <v>795</v>
      </c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</row>
    <row r="11" spans="1:23" s="510" customFormat="1" ht="10.5" x14ac:dyDescent="0.2">
      <c r="A11" s="520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</row>
    <row r="12" spans="1:23" s="510" customFormat="1" ht="10.5" x14ac:dyDescent="0.2">
      <c r="A12" s="520" t="s">
        <v>796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</row>
    <row r="13" spans="1:23" s="510" customFormat="1" ht="10.5" x14ac:dyDescent="0.2">
      <c r="A13" s="520" t="s">
        <v>797</v>
      </c>
      <c r="B13" s="850"/>
      <c r="C13" s="850"/>
      <c r="D13" s="850"/>
      <c r="E13" s="850"/>
      <c r="F13" s="850"/>
      <c r="G13" s="850"/>
      <c r="H13" s="850"/>
      <c r="I13" s="85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</row>
    <row r="14" spans="1:23" s="510" customFormat="1" ht="12.75" customHeight="1" x14ac:dyDescent="0.2">
      <c r="B14" s="851" t="s">
        <v>226</v>
      </c>
      <c r="C14" s="851"/>
      <c r="D14" s="851"/>
      <c r="E14" s="851"/>
      <c r="F14" s="851"/>
      <c r="G14" s="522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</row>
    <row r="15" spans="1:23" s="523" customFormat="1" ht="14.25" customHeight="1" thickBot="1" x14ac:dyDescent="0.3">
      <c r="A15" s="852" t="s">
        <v>798</v>
      </c>
      <c r="B15" s="852"/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</row>
    <row r="16" spans="1:23" s="526" customFormat="1" ht="18" customHeight="1" x14ac:dyDescent="0.2">
      <c r="A16" s="837" t="s">
        <v>196</v>
      </c>
      <c r="B16" s="838"/>
      <c r="C16" s="841" t="s">
        <v>799</v>
      </c>
      <c r="D16" s="842"/>
      <c r="E16" s="842"/>
      <c r="F16" s="842"/>
      <c r="G16" s="838"/>
      <c r="H16" s="845" t="s">
        <v>800</v>
      </c>
      <c r="I16" s="524">
        <v>2019</v>
      </c>
      <c r="J16" s="525">
        <v>2020</v>
      </c>
      <c r="K16" s="525">
        <v>2021</v>
      </c>
      <c r="L16" s="831">
        <v>2022</v>
      </c>
      <c r="M16" s="847"/>
      <c r="N16" s="831">
        <v>2023</v>
      </c>
      <c r="O16" s="847"/>
      <c r="P16" s="831">
        <v>2024</v>
      </c>
      <c r="Q16" s="847"/>
      <c r="R16" s="831">
        <v>2025</v>
      </c>
      <c r="S16" s="847"/>
      <c r="T16" s="831">
        <v>2026</v>
      </c>
      <c r="U16" s="847"/>
      <c r="V16" s="831" t="s">
        <v>232</v>
      </c>
      <c r="W16" s="832"/>
    </row>
    <row r="17" spans="1:23" s="526" customFormat="1" ht="42" customHeight="1" x14ac:dyDescent="0.2">
      <c r="A17" s="839"/>
      <c r="B17" s="840"/>
      <c r="C17" s="843"/>
      <c r="D17" s="844"/>
      <c r="E17" s="844"/>
      <c r="F17" s="844"/>
      <c r="G17" s="840"/>
      <c r="H17" s="846"/>
      <c r="I17" s="527" t="s">
        <v>801</v>
      </c>
      <c r="J17" s="528" t="s">
        <v>801</v>
      </c>
      <c r="K17" s="528" t="s">
        <v>802</v>
      </c>
      <c r="L17" s="528" t="s">
        <v>532</v>
      </c>
      <c r="M17" s="528" t="s">
        <v>803</v>
      </c>
      <c r="N17" s="528" t="s">
        <v>532</v>
      </c>
      <c r="O17" s="528" t="s">
        <v>136</v>
      </c>
      <c r="P17" s="528" t="s">
        <v>532</v>
      </c>
      <c r="Q17" s="528" t="s">
        <v>136</v>
      </c>
      <c r="R17" s="528" t="s">
        <v>532</v>
      </c>
      <c r="S17" s="528" t="s">
        <v>136</v>
      </c>
      <c r="T17" s="528" t="s">
        <v>532</v>
      </c>
      <c r="U17" s="528" t="s">
        <v>136</v>
      </c>
      <c r="V17" s="528" t="s">
        <v>804</v>
      </c>
      <c r="W17" s="529" t="s">
        <v>136</v>
      </c>
    </row>
    <row r="18" spans="1:23" s="534" customFormat="1" ht="9" thickBot="1" x14ac:dyDescent="0.3">
      <c r="A18" s="833">
        <v>1</v>
      </c>
      <c r="B18" s="834"/>
      <c r="C18" s="835">
        <v>2</v>
      </c>
      <c r="D18" s="836"/>
      <c r="E18" s="836"/>
      <c r="F18" s="836"/>
      <c r="G18" s="834"/>
      <c r="H18" s="530">
        <v>3</v>
      </c>
      <c r="I18" s="531">
        <v>4</v>
      </c>
      <c r="J18" s="532">
        <v>5</v>
      </c>
      <c r="K18" s="532">
        <v>6</v>
      </c>
      <c r="L18" s="532">
        <v>7</v>
      </c>
      <c r="M18" s="532">
        <v>8</v>
      </c>
      <c r="N18" s="532">
        <v>9</v>
      </c>
      <c r="O18" s="533">
        <v>10</v>
      </c>
      <c r="P18" s="532">
        <v>11</v>
      </c>
      <c r="Q18" s="532">
        <v>12</v>
      </c>
      <c r="R18" s="532">
        <v>11</v>
      </c>
      <c r="S18" s="532">
        <v>12</v>
      </c>
      <c r="T18" s="532">
        <v>11</v>
      </c>
      <c r="U18" s="532">
        <v>12</v>
      </c>
      <c r="V18" s="532">
        <v>13</v>
      </c>
      <c r="W18" s="530">
        <v>14</v>
      </c>
    </row>
    <row r="19" spans="1:23" s="535" customFormat="1" ht="10.5" customHeight="1" thickBot="1" x14ac:dyDescent="0.25">
      <c r="A19" s="804" t="s">
        <v>805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6"/>
    </row>
    <row r="20" spans="1:23" s="539" customFormat="1" ht="9.75" customHeight="1" x14ac:dyDescent="0.25">
      <c r="A20" s="810" t="s">
        <v>524</v>
      </c>
      <c r="B20" s="811"/>
      <c r="C20" s="812" t="s">
        <v>806</v>
      </c>
      <c r="D20" s="813"/>
      <c r="E20" s="813"/>
      <c r="F20" s="813"/>
      <c r="G20" s="814"/>
      <c r="H20" s="536" t="s">
        <v>807</v>
      </c>
      <c r="I20" s="537">
        <f t="shared" ref="I20:K20" si="0">I26+I28+I34</f>
        <v>115.622</v>
      </c>
      <c r="J20" s="538">
        <f t="shared" si="0"/>
        <v>121.52241066666667</v>
      </c>
      <c r="K20" s="538">
        <f t="shared" si="0"/>
        <v>93.53591200000001</v>
      </c>
      <c r="L20" s="538">
        <f t="shared" ref="L20" si="1">L26+L28+L34</f>
        <v>98.783700556288025</v>
      </c>
      <c r="M20" s="537">
        <f t="shared" ref="M20:W20" si="2">M26+M28+M34</f>
        <v>0</v>
      </c>
      <c r="N20" s="538">
        <f t="shared" si="2"/>
        <v>104.24099662914824</v>
      </c>
      <c r="O20" s="538">
        <f t="shared" si="2"/>
        <v>0</v>
      </c>
      <c r="P20" s="538">
        <f t="shared" si="2"/>
        <v>110.03314420610616</v>
      </c>
      <c r="Q20" s="538">
        <f t="shared" ref="Q20:R20" si="3">Q26+Q28+Q34</f>
        <v>0</v>
      </c>
      <c r="R20" s="538">
        <f t="shared" si="3"/>
        <v>116.18342010931207</v>
      </c>
      <c r="S20" s="538">
        <f t="shared" si="2"/>
        <v>0</v>
      </c>
      <c r="T20" s="538">
        <f t="shared" si="2"/>
        <v>122.71692047210671</v>
      </c>
      <c r="U20" s="538">
        <f t="shared" ref="U20" si="4">U26+U28+U34</f>
        <v>0</v>
      </c>
      <c r="V20" s="538">
        <f>V26+V28+V34</f>
        <v>551.95818197296114</v>
      </c>
      <c r="W20" s="538">
        <f t="shared" si="2"/>
        <v>0</v>
      </c>
    </row>
    <row r="21" spans="1:23" s="539" customFormat="1" ht="8.25" customHeight="1" x14ac:dyDescent="0.25">
      <c r="A21" s="726" t="s">
        <v>37</v>
      </c>
      <c r="B21" s="727"/>
      <c r="C21" s="728" t="s">
        <v>808</v>
      </c>
      <c r="D21" s="729"/>
      <c r="E21" s="729"/>
      <c r="F21" s="729"/>
      <c r="G21" s="730"/>
      <c r="H21" s="540" t="s">
        <v>807</v>
      </c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0"/>
    </row>
    <row r="22" spans="1:23" s="539" customFormat="1" ht="16.5" customHeight="1" x14ac:dyDescent="0.25">
      <c r="A22" s="726" t="s">
        <v>82</v>
      </c>
      <c r="B22" s="727"/>
      <c r="C22" s="728" t="s">
        <v>809</v>
      </c>
      <c r="D22" s="729"/>
      <c r="E22" s="729"/>
      <c r="F22" s="729"/>
      <c r="G22" s="730"/>
      <c r="H22" s="540" t="s">
        <v>807</v>
      </c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0"/>
    </row>
    <row r="23" spans="1:23" s="539" customFormat="1" ht="16.5" customHeight="1" x14ac:dyDescent="0.25">
      <c r="A23" s="726" t="s">
        <v>90</v>
      </c>
      <c r="B23" s="727"/>
      <c r="C23" s="728" t="s">
        <v>810</v>
      </c>
      <c r="D23" s="729"/>
      <c r="E23" s="729"/>
      <c r="F23" s="729"/>
      <c r="G23" s="730"/>
      <c r="H23" s="540" t="s">
        <v>807</v>
      </c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0"/>
    </row>
    <row r="24" spans="1:23" s="539" customFormat="1" ht="16.5" customHeight="1" x14ac:dyDescent="0.25">
      <c r="A24" s="726" t="s">
        <v>96</v>
      </c>
      <c r="B24" s="727"/>
      <c r="C24" s="728" t="s">
        <v>811</v>
      </c>
      <c r="D24" s="729"/>
      <c r="E24" s="729"/>
      <c r="F24" s="729"/>
      <c r="G24" s="730"/>
      <c r="H24" s="540" t="s">
        <v>807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0"/>
    </row>
    <row r="25" spans="1:23" s="539" customFormat="1" ht="8.1" customHeight="1" x14ac:dyDescent="0.25">
      <c r="A25" s="726" t="s">
        <v>42</v>
      </c>
      <c r="B25" s="727"/>
      <c r="C25" s="728" t="s">
        <v>812</v>
      </c>
      <c r="D25" s="729"/>
      <c r="E25" s="729"/>
      <c r="F25" s="729"/>
      <c r="G25" s="730"/>
      <c r="H25" s="540" t="s">
        <v>807</v>
      </c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0"/>
    </row>
    <row r="26" spans="1:23" s="539" customFormat="1" ht="8.1" customHeight="1" x14ac:dyDescent="0.25">
      <c r="A26" s="745" t="s">
        <v>68</v>
      </c>
      <c r="B26" s="746"/>
      <c r="C26" s="747" t="s">
        <v>813</v>
      </c>
      <c r="D26" s="748"/>
      <c r="E26" s="748"/>
      <c r="F26" s="748"/>
      <c r="G26" s="749"/>
      <c r="H26" s="543" t="s">
        <v>807</v>
      </c>
      <c r="I26" s="544">
        <v>85.081999999999994</v>
      </c>
      <c r="J26" s="545">
        <f>71.375+2.429+J54</f>
        <v>91.690744000000009</v>
      </c>
      <c r="K26" s="545">
        <f>70.662+K54-1.366+5.293+(-1.366+5.293)*0.12+3.406</f>
        <v>93.53591200000001</v>
      </c>
      <c r="L26" s="545">
        <f>(70.662+L54-1.366+5.293+(-1.366+5.293)*0.12+3.406)*Ф17!E15</f>
        <v>98.783700556288025</v>
      </c>
      <c r="M26" s="544"/>
      <c r="N26" s="545">
        <f>(70.662+N54-1.366+5.293+(-1.366+5.293)*0.12+3.406)*Ф17!E15*Ф17!F15</f>
        <v>104.24099662914824</v>
      </c>
      <c r="O26" s="545"/>
      <c r="P26" s="545">
        <f>(70.662+P54-1.366+5.293+(-1.366+5.293)*0.12+3.406)*Ф17!E15*Ф17!F15*Ф17!G15</f>
        <v>110.03314420610616</v>
      </c>
      <c r="Q26" s="545"/>
      <c r="R26" s="545">
        <f>(70.662+R54-1.366+5.293+(-1.366+5.293)*0.12+3.406)*Ф17!E15*Ф17!F15*Ф17!G15*Ф17!H15</f>
        <v>116.18342010931207</v>
      </c>
      <c r="S26" s="545"/>
      <c r="T26" s="545">
        <f>(70.662+T54-1.366+5.293+(-1.366+5.293)*0.12+3.406)*Ф17!E15*Ф17!F15*Ф17!G15*Ф17!H15*Ф17!I15</f>
        <v>122.71692047210671</v>
      </c>
      <c r="U26" s="545"/>
      <c r="V26" s="545">
        <f>L26+N26+P26+R26+T26</f>
        <v>551.95818197296114</v>
      </c>
      <c r="W26" s="545">
        <f>M26+O26+S26</f>
        <v>0</v>
      </c>
    </row>
    <row r="27" spans="1:23" s="539" customFormat="1" ht="8.1" customHeight="1" x14ac:dyDescent="0.25">
      <c r="A27" s="726" t="s">
        <v>814</v>
      </c>
      <c r="B27" s="727"/>
      <c r="C27" s="728" t="s">
        <v>815</v>
      </c>
      <c r="D27" s="729"/>
      <c r="E27" s="729"/>
      <c r="F27" s="729"/>
      <c r="G27" s="730"/>
      <c r="H27" s="540" t="s">
        <v>807</v>
      </c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0"/>
    </row>
    <row r="28" spans="1:23" s="539" customFormat="1" ht="8.1" customHeight="1" x14ac:dyDescent="0.25">
      <c r="A28" s="745" t="s">
        <v>816</v>
      </c>
      <c r="B28" s="746"/>
      <c r="C28" s="747" t="s">
        <v>817</v>
      </c>
      <c r="D28" s="748"/>
      <c r="E28" s="748"/>
      <c r="F28" s="748"/>
      <c r="G28" s="749"/>
      <c r="H28" s="543" t="s">
        <v>807</v>
      </c>
      <c r="I28" s="544">
        <v>11.301</v>
      </c>
      <c r="J28" s="546">
        <f>24.038/1.2</f>
        <v>20.031666666666666</v>
      </c>
      <c r="K28" s="544"/>
      <c r="L28" s="544"/>
      <c r="M28" s="544"/>
      <c r="N28" s="544"/>
      <c r="O28" s="546"/>
      <c r="P28" s="544"/>
      <c r="Q28" s="544"/>
      <c r="R28" s="544"/>
      <c r="S28" s="544"/>
      <c r="T28" s="544"/>
      <c r="U28" s="544"/>
      <c r="V28" s="545">
        <f>L28+N28+P28+R28+T28</f>
        <v>0</v>
      </c>
      <c r="W28" s="545">
        <f>M28+O28+S28</f>
        <v>0</v>
      </c>
    </row>
    <row r="29" spans="1:23" s="539" customFormat="1" ht="8.1" customHeight="1" x14ac:dyDescent="0.25">
      <c r="A29" s="726" t="s">
        <v>528</v>
      </c>
      <c r="B29" s="727"/>
      <c r="C29" s="728" t="s">
        <v>818</v>
      </c>
      <c r="D29" s="729"/>
      <c r="E29" s="729"/>
      <c r="F29" s="729"/>
      <c r="G29" s="730"/>
      <c r="H29" s="540" t="s">
        <v>807</v>
      </c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0"/>
    </row>
    <row r="30" spans="1:23" s="539" customFormat="1" ht="8.1" customHeight="1" x14ac:dyDescent="0.25">
      <c r="A30" s="726" t="s">
        <v>819</v>
      </c>
      <c r="B30" s="727"/>
      <c r="C30" s="728" t="s">
        <v>820</v>
      </c>
      <c r="D30" s="729"/>
      <c r="E30" s="729"/>
      <c r="F30" s="729"/>
      <c r="G30" s="730"/>
      <c r="H30" s="540" t="s">
        <v>807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0"/>
    </row>
    <row r="31" spans="1:23" s="539" customFormat="1" ht="16.5" customHeight="1" x14ac:dyDescent="0.25">
      <c r="A31" s="726" t="s">
        <v>821</v>
      </c>
      <c r="B31" s="727"/>
      <c r="C31" s="728" t="s">
        <v>822</v>
      </c>
      <c r="D31" s="729"/>
      <c r="E31" s="729"/>
      <c r="F31" s="729"/>
      <c r="G31" s="730"/>
      <c r="H31" s="540" t="s">
        <v>807</v>
      </c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0"/>
    </row>
    <row r="32" spans="1:23" s="539" customFormat="1" ht="8.1" customHeight="1" x14ac:dyDescent="0.25">
      <c r="A32" s="726" t="s">
        <v>823</v>
      </c>
      <c r="B32" s="727"/>
      <c r="C32" s="731" t="s">
        <v>824</v>
      </c>
      <c r="D32" s="732"/>
      <c r="E32" s="732"/>
      <c r="F32" s="732"/>
      <c r="G32" s="733"/>
      <c r="H32" s="540" t="s">
        <v>807</v>
      </c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0"/>
    </row>
    <row r="33" spans="1:23" s="539" customFormat="1" ht="8.1" customHeight="1" x14ac:dyDescent="0.25">
      <c r="A33" s="726" t="s">
        <v>825</v>
      </c>
      <c r="B33" s="727"/>
      <c r="C33" s="731" t="s">
        <v>826</v>
      </c>
      <c r="D33" s="732"/>
      <c r="E33" s="732"/>
      <c r="F33" s="732"/>
      <c r="G33" s="733"/>
      <c r="H33" s="540" t="s">
        <v>807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0"/>
    </row>
    <row r="34" spans="1:23" s="539" customFormat="1" ht="8.1" customHeight="1" x14ac:dyDescent="0.25">
      <c r="A34" s="745" t="s">
        <v>827</v>
      </c>
      <c r="B34" s="746"/>
      <c r="C34" s="747" t="s">
        <v>828</v>
      </c>
      <c r="D34" s="748"/>
      <c r="E34" s="748"/>
      <c r="F34" s="748"/>
      <c r="G34" s="749"/>
      <c r="H34" s="543" t="s">
        <v>807</v>
      </c>
      <c r="I34" s="544">
        <v>19.239000000000001</v>
      </c>
      <c r="J34" s="547">
        <v>9.8000000000000007</v>
      </c>
      <c r="K34" s="544"/>
      <c r="L34" s="544"/>
      <c r="M34" s="544"/>
      <c r="N34" s="544"/>
      <c r="O34" s="547"/>
      <c r="P34" s="544"/>
      <c r="Q34" s="544"/>
      <c r="R34" s="544"/>
      <c r="S34" s="544"/>
      <c r="T34" s="544"/>
      <c r="U34" s="544"/>
      <c r="V34" s="545">
        <f>L34+N34+P34+R34+T34</f>
        <v>0</v>
      </c>
      <c r="W34" s="545">
        <f>M34+O34+S34</f>
        <v>0</v>
      </c>
    </row>
    <row r="35" spans="1:23" s="539" customFormat="1" ht="16.5" customHeight="1" x14ac:dyDescent="0.25">
      <c r="A35" s="750" t="s">
        <v>829</v>
      </c>
      <c r="B35" s="751"/>
      <c r="C35" s="752" t="s">
        <v>830</v>
      </c>
      <c r="D35" s="753"/>
      <c r="E35" s="753"/>
      <c r="F35" s="753"/>
      <c r="G35" s="754"/>
      <c r="H35" s="548" t="s">
        <v>807</v>
      </c>
      <c r="I35" s="549">
        <f t="shared" ref="I35" si="5">I41+I43+I49</f>
        <v>88.147000000000006</v>
      </c>
      <c r="J35" s="550">
        <f>J41+J43+J49</f>
        <v>83.864744000000002</v>
      </c>
      <c r="K35" s="550">
        <f t="shared" ref="K35:L35" si="6">K41+K43+K49</f>
        <v>83.873671999999999</v>
      </c>
      <c r="L35" s="550">
        <f t="shared" si="6"/>
        <v>92.157673036288003</v>
      </c>
      <c r="M35" s="549">
        <f t="shared" ref="M35:W35" si="7">M41+M43+M49</f>
        <v>0</v>
      </c>
      <c r="N35" s="550">
        <f t="shared" si="7"/>
        <v>98.139045815708229</v>
      </c>
      <c r="O35" s="550">
        <f>O41+O43+O49</f>
        <v>0</v>
      </c>
      <c r="P35" s="550">
        <f t="shared" ref="P35" si="8">P41+P43+P49</f>
        <v>104.43290170443447</v>
      </c>
      <c r="Q35" s="550">
        <f t="shared" ref="Q35:R35" si="9">Q41+Q43+Q49</f>
        <v>0</v>
      </c>
      <c r="R35" s="550">
        <f t="shared" si="9"/>
        <v>111.06146621006181</v>
      </c>
      <c r="S35" s="550">
        <f t="shared" si="7"/>
        <v>0</v>
      </c>
      <c r="T35" s="550">
        <f t="shared" si="7"/>
        <v>118.04873473959165</v>
      </c>
      <c r="U35" s="550">
        <f t="shared" ref="U35" si="10">U41+U43+U49</f>
        <v>0</v>
      </c>
      <c r="V35" s="550">
        <f t="shared" si="7"/>
        <v>523.83982150608415</v>
      </c>
      <c r="W35" s="550">
        <f t="shared" si="7"/>
        <v>0</v>
      </c>
    </row>
    <row r="36" spans="1:23" s="539" customFormat="1" ht="8.1" customHeight="1" x14ac:dyDescent="0.25">
      <c r="A36" s="726" t="s">
        <v>831</v>
      </c>
      <c r="B36" s="727"/>
      <c r="C36" s="728" t="s">
        <v>808</v>
      </c>
      <c r="D36" s="729"/>
      <c r="E36" s="729"/>
      <c r="F36" s="729"/>
      <c r="G36" s="730"/>
      <c r="H36" s="540" t="s">
        <v>807</v>
      </c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0"/>
    </row>
    <row r="37" spans="1:23" s="539" customFormat="1" ht="16.5" customHeight="1" x14ac:dyDescent="0.25">
      <c r="A37" s="726" t="s">
        <v>832</v>
      </c>
      <c r="B37" s="727"/>
      <c r="C37" s="731" t="s">
        <v>809</v>
      </c>
      <c r="D37" s="732"/>
      <c r="E37" s="732"/>
      <c r="F37" s="732"/>
      <c r="G37" s="733"/>
      <c r="H37" s="540" t="s">
        <v>807</v>
      </c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0"/>
    </row>
    <row r="38" spans="1:23" s="539" customFormat="1" ht="16.5" customHeight="1" x14ac:dyDescent="0.25">
      <c r="A38" s="726" t="s">
        <v>833</v>
      </c>
      <c r="B38" s="727"/>
      <c r="C38" s="731" t="s">
        <v>810</v>
      </c>
      <c r="D38" s="732"/>
      <c r="E38" s="732"/>
      <c r="F38" s="732"/>
      <c r="G38" s="733"/>
      <c r="H38" s="540" t="s">
        <v>807</v>
      </c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0"/>
    </row>
    <row r="39" spans="1:23" s="539" customFormat="1" ht="16.5" customHeight="1" x14ac:dyDescent="0.25">
      <c r="A39" s="726" t="s">
        <v>834</v>
      </c>
      <c r="B39" s="727"/>
      <c r="C39" s="731" t="s">
        <v>811</v>
      </c>
      <c r="D39" s="732"/>
      <c r="E39" s="732"/>
      <c r="F39" s="732"/>
      <c r="G39" s="733"/>
      <c r="H39" s="540" t="s">
        <v>807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0"/>
    </row>
    <row r="40" spans="1:23" s="539" customFormat="1" ht="8.1" customHeight="1" x14ac:dyDescent="0.25">
      <c r="A40" s="726" t="s">
        <v>835</v>
      </c>
      <c r="B40" s="727"/>
      <c r="C40" s="728" t="s">
        <v>812</v>
      </c>
      <c r="D40" s="729"/>
      <c r="E40" s="729"/>
      <c r="F40" s="729"/>
      <c r="G40" s="730"/>
      <c r="H40" s="540" t="s">
        <v>807</v>
      </c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0"/>
    </row>
    <row r="41" spans="1:23" s="539" customFormat="1" ht="8.1" customHeight="1" x14ac:dyDescent="0.25">
      <c r="A41" s="745" t="s">
        <v>836</v>
      </c>
      <c r="B41" s="746"/>
      <c r="C41" s="747" t="s">
        <v>813</v>
      </c>
      <c r="D41" s="748"/>
      <c r="E41" s="748"/>
      <c r="F41" s="748"/>
      <c r="G41" s="749"/>
      <c r="H41" s="543" t="s">
        <v>807</v>
      </c>
      <c r="I41" s="544">
        <v>79.195999999999998</v>
      </c>
      <c r="J41" s="545">
        <f>65.591-1.772-1.613+J54</f>
        <v>80.092743999999996</v>
      </c>
      <c r="K41" s="545">
        <f>64.877+K54-1.366+5.293</f>
        <v>83.873671999999999</v>
      </c>
      <c r="L41" s="545">
        <f>(64.877+L54-1.366+5.293)*Ф17!E15</f>
        <v>88.657673036288003</v>
      </c>
      <c r="M41" s="544"/>
      <c r="N41" s="545">
        <f>(64.877+N54-1.366+5.293)*Ф17!E15*Ф17!F15</f>
        <v>93.639045815708229</v>
      </c>
      <c r="O41" s="545"/>
      <c r="P41" s="545">
        <f>(64.877+P54-1.366+5.293)*Ф17!E15*Ф17!F15*Ф17!G15</f>
        <v>98.932901704434471</v>
      </c>
      <c r="Q41" s="545"/>
      <c r="R41" s="545">
        <f>(64.877+R54-1.366+5.293)*Ф17!E15*Ф17!F15*Ф17!G15*Ф17!H15</f>
        <v>104.56146621006181</v>
      </c>
      <c r="S41" s="545"/>
      <c r="T41" s="545">
        <f>(64.877+T54-1.366+5.293)*Ф17!E15*Ф17!F15*Ф17!G15*Ф17!H15*Ф17!I15</f>
        <v>110.54873473959165</v>
      </c>
      <c r="U41" s="545"/>
      <c r="V41" s="545">
        <f>L41+N41+P41+R41+T41</f>
        <v>496.33982150608415</v>
      </c>
      <c r="W41" s="545">
        <f>M41+O41+S41</f>
        <v>0</v>
      </c>
    </row>
    <row r="42" spans="1:23" s="539" customFormat="1" ht="8.1" customHeight="1" x14ac:dyDescent="0.25">
      <c r="A42" s="726" t="s">
        <v>837</v>
      </c>
      <c r="B42" s="727"/>
      <c r="C42" s="728" t="s">
        <v>815</v>
      </c>
      <c r="D42" s="729"/>
      <c r="E42" s="729"/>
      <c r="F42" s="729"/>
      <c r="G42" s="730"/>
      <c r="H42" s="540" t="s">
        <v>807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0"/>
    </row>
    <row r="43" spans="1:23" s="539" customFormat="1" ht="8.1" customHeight="1" x14ac:dyDescent="0.25">
      <c r="A43" s="745" t="s">
        <v>838</v>
      </c>
      <c r="B43" s="746"/>
      <c r="C43" s="747" t="s">
        <v>817</v>
      </c>
      <c r="D43" s="748"/>
      <c r="E43" s="748"/>
      <c r="F43" s="748"/>
      <c r="G43" s="749"/>
      <c r="H43" s="543" t="s">
        <v>807</v>
      </c>
      <c r="I43" s="544">
        <v>1.8009999999999999</v>
      </c>
      <c r="J43" s="544">
        <v>1.772</v>
      </c>
      <c r="K43" s="544"/>
      <c r="L43" s="544">
        <v>3.5</v>
      </c>
      <c r="M43" s="544"/>
      <c r="N43" s="544">
        <v>4.5</v>
      </c>
      <c r="O43" s="544"/>
      <c r="P43" s="544">
        <v>5.5</v>
      </c>
      <c r="Q43" s="544"/>
      <c r="R43" s="544">
        <v>6.5</v>
      </c>
      <c r="S43" s="544"/>
      <c r="T43" s="544">
        <v>7.5</v>
      </c>
      <c r="U43" s="544"/>
      <c r="V43" s="545">
        <f>L43+N43+P43+R43+T43</f>
        <v>27.5</v>
      </c>
      <c r="W43" s="545">
        <f>M43+O43+S43</f>
        <v>0</v>
      </c>
    </row>
    <row r="44" spans="1:23" s="539" customFormat="1" ht="8.1" customHeight="1" x14ac:dyDescent="0.25">
      <c r="A44" s="726" t="s">
        <v>839</v>
      </c>
      <c r="B44" s="727"/>
      <c r="C44" s="728" t="s">
        <v>818</v>
      </c>
      <c r="D44" s="729"/>
      <c r="E44" s="729"/>
      <c r="F44" s="729"/>
      <c r="G44" s="730"/>
      <c r="H44" s="540" t="s">
        <v>807</v>
      </c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0"/>
    </row>
    <row r="45" spans="1:23" s="539" customFormat="1" ht="8.1" customHeight="1" x14ac:dyDescent="0.25">
      <c r="A45" s="726" t="s">
        <v>840</v>
      </c>
      <c r="B45" s="727"/>
      <c r="C45" s="728" t="s">
        <v>820</v>
      </c>
      <c r="D45" s="729"/>
      <c r="E45" s="729"/>
      <c r="F45" s="729"/>
      <c r="G45" s="730"/>
      <c r="H45" s="540" t="s">
        <v>807</v>
      </c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0"/>
    </row>
    <row r="46" spans="1:23" s="539" customFormat="1" ht="16.5" customHeight="1" x14ac:dyDescent="0.25">
      <c r="A46" s="726" t="s">
        <v>841</v>
      </c>
      <c r="B46" s="727"/>
      <c r="C46" s="728" t="s">
        <v>822</v>
      </c>
      <c r="D46" s="729"/>
      <c r="E46" s="729"/>
      <c r="F46" s="729"/>
      <c r="G46" s="730"/>
      <c r="H46" s="540" t="s">
        <v>807</v>
      </c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0"/>
    </row>
    <row r="47" spans="1:23" s="539" customFormat="1" ht="8.1" customHeight="1" x14ac:dyDescent="0.25">
      <c r="A47" s="726" t="s">
        <v>842</v>
      </c>
      <c r="B47" s="727"/>
      <c r="C47" s="731" t="s">
        <v>824</v>
      </c>
      <c r="D47" s="732"/>
      <c r="E47" s="732"/>
      <c r="F47" s="732"/>
      <c r="G47" s="733"/>
      <c r="H47" s="540" t="s">
        <v>807</v>
      </c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0"/>
    </row>
    <row r="48" spans="1:23" s="539" customFormat="1" ht="8.1" customHeight="1" x14ac:dyDescent="0.25">
      <c r="A48" s="726" t="s">
        <v>843</v>
      </c>
      <c r="B48" s="727"/>
      <c r="C48" s="731" t="s">
        <v>826</v>
      </c>
      <c r="D48" s="732"/>
      <c r="E48" s="732"/>
      <c r="F48" s="732"/>
      <c r="G48" s="733"/>
      <c r="H48" s="540" t="s">
        <v>807</v>
      </c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0"/>
    </row>
    <row r="49" spans="1:23" s="539" customFormat="1" ht="8.1" customHeight="1" x14ac:dyDescent="0.25">
      <c r="A49" s="745" t="s">
        <v>844</v>
      </c>
      <c r="B49" s="746"/>
      <c r="C49" s="747" t="s">
        <v>828</v>
      </c>
      <c r="D49" s="748"/>
      <c r="E49" s="748"/>
      <c r="F49" s="748"/>
      <c r="G49" s="749"/>
      <c r="H49" s="543" t="s">
        <v>807</v>
      </c>
      <c r="I49" s="544">
        <v>7.15</v>
      </c>
      <c r="J49" s="547">
        <v>2</v>
      </c>
      <c r="K49" s="544"/>
      <c r="L49" s="544"/>
      <c r="M49" s="544"/>
      <c r="N49" s="544"/>
      <c r="O49" s="547"/>
      <c r="P49" s="544"/>
      <c r="Q49" s="544"/>
      <c r="R49" s="544"/>
      <c r="S49" s="544"/>
      <c r="T49" s="544"/>
      <c r="U49" s="544"/>
      <c r="V49" s="545">
        <f>L49+N49+P49+R49+T49</f>
        <v>0</v>
      </c>
      <c r="W49" s="545">
        <f>M49+O49+S49</f>
        <v>0</v>
      </c>
    </row>
    <row r="50" spans="1:23" s="539" customFormat="1" ht="8.1" customHeight="1" x14ac:dyDescent="0.25">
      <c r="A50" s="750" t="s">
        <v>845</v>
      </c>
      <c r="B50" s="751"/>
      <c r="C50" s="798" t="s">
        <v>846</v>
      </c>
      <c r="D50" s="799"/>
      <c r="E50" s="799"/>
      <c r="F50" s="799"/>
      <c r="G50" s="800"/>
      <c r="H50" s="548" t="s">
        <v>807</v>
      </c>
      <c r="I50" s="549">
        <f t="shared" ref="I50:K50" si="11">I54+I57+I58</f>
        <v>8.8850000000000016</v>
      </c>
      <c r="J50" s="549">
        <f t="shared" si="11"/>
        <v>31.589744000000003</v>
      </c>
      <c r="K50" s="549">
        <f t="shared" si="11"/>
        <v>29.137672000000002</v>
      </c>
      <c r="L50" s="549">
        <f t="shared" ref="L50" si="12">L54+L57+L58</f>
        <v>30.536280255999998</v>
      </c>
      <c r="M50" s="549">
        <f t="shared" ref="M50:W50" si="13">M54+M57+M58</f>
        <v>0</v>
      </c>
      <c r="N50" s="549">
        <f t="shared" si="13"/>
        <v>31.971485428031997</v>
      </c>
      <c r="O50" s="549">
        <f t="shared" si="13"/>
        <v>0</v>
      </c>
      <c r="P50" s="549">
        <f t="shared" si="13"/>
        <v>33.474145243149501</v>
      </c>
      <c r="Q50" s="549">
        <f t="shared" ref="Q50:R50" si="14">Q54+Q57+Q58</f>
        <v>0</v>
      </c>
      <c r="R50" s="549">
        <f t="shared" si="14"/>
        <v>35.047430069577523</v>
      </c>
      <c r="S50" s="549">
        <f t="shared" si="13"/>
        <v>0</v>
      </c>
      <c r="T50" s="549">
        <f t="shared" si="13"/>
        <v>36.694659282847667</v>
      </c>
      <c r="U50" s="549">
        <f t="shared" ref="U50" si="15">U54+U57+U58</f>
        <v>0</v>
      </c>
      <c r="V50" s="549">
        <f t="shared" si="13"/>
        <v>167.72400027960668</v>
      </c>
      <c r="W50" s="549">
        <f t="shared" si="13"/>
        <v>0</v>
      </c>
    </row>
    <row r="51" spans="1:23" s="539" customFormat="1" ht="8.1" customHeight="1" x14ac:dyDescent="0.25">
      <c r="A51" s="726" t="s">
        <v>832</v>
      </c>
      <c r="B51" s="727"/>
      <c r="C51" s="731" t="s">
        <v>847</v>
      </c>
      <c r="D51" s="732"/>
      <c r="E51" s="732"/>
      <c r="F51" s="732"/>
      <c r="G51" s="733"/>
      <c r="H51" s="540" t="s">
        <v>807</v>
      </c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0"/>
    </row>
    <row r="52" spans="1:23" s="539" customFormat="1" ht="8.1" customHeight="1" x14ac:dyDescent="0.25">
      <c r="A52" s="726" t="s">
        <v>833</v>
      </c>
      <c r="B52" s="727"/>
      <c r="C52" s="731" t="s">
        <v>848</v>
      </c>
      <c r="D52" s="732"/>
      <c r="E52" s="732"/>
      <c r="F52" s="732"/>
      <c r="G52" s="733"/>
      <c r="H52" s="540" t="s">
        <v>807</v>
      </c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0"/>
    </row>
    <row r="53" spans="1:23" s="539" customFormat="1" ht="8.1" customHeight="1" x14ac:dyDescent="0.25">
      <c r="A53" s="726" t="s">
        <v>849</v>
      </c>
      <c r="B53" s="727"/>
      <c r="C53" s="742" t="s">
        <v>850</v>
      </c>
      <c r="D53" s="743"/>
      <c r="E53" s="743"/>
      <c r="F53" s="743"/>
      <c r="G53" s="744"/>
      <c r="H53" s="540" t="s">
        <v>807</v>
      </c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0"/>
    </row>
    <row r="54" spans="1:23" s="539" customFormat="1" ht="16.5" customHeight="1" x14ac:dyDescent="0.25">
      <c r="A54" s="745" t="s">
        <v>851</v>
      </c>
      <c r="B54" s="746"/>
      <c r="C54" s="828" t="s">
        <v>852</v>
      </c>
      <c r="D54" s="829"/>
      <c r="E54" s="829"/>
      <c r="F54" s="829"/>
      <c r="G54" s="830"/>
      <c r="H54" s="543" t="s">
        <v>807</v>
      </c>
      <c r="I54" s="544">
        <v>4.8120000000000003</v>
      </c>
      <c r="J54" s="545">
        <f>8.2809*2.16</f>
        <v>17.886744000000004</v>
      </c>
      <c r="K54" s="545">
        <f>6.9767*2.16</f>
        <v>15.069672000000001</v>
      </c>
      <c r="L54" s="545">
        <f>6.9767*2.16*Ф17!E15</f>
        <v>15.793016256000001</v>
      </c>
      <c r="M54" s="544"/>
      <c r="N54" s="545">
        <f>6.9767*2.16*Ф17!E15*Ф17!F15</f>
        <v>16.535288020031999</v>
      </c>
      <c r="O54" s="545"/>
      <c r="P54" s="545">
        <f>6.9767*2.16*Ф17!E15*Ф17!F15*Ф17!G15</f>
        <v>17.312446556973502</v>
      </c>
      <c r="Q54" s="545"/>
      <c r="R54" s="545">
        <f>6.9767*2.16*Ф17!E15*Ф17!F15*Ф17!G15*Ф17!H15</f>
        <v>18.126131545151257</v>
      </c>
      <c r="S54" s="545"/>
      <c r="T54" s="545">
        <f>6.9767*2.16*Ф17!E15*Ф17!F15*Ф17!G15*Ф17!H15*Ф17!I15</f>
        <v>18.978059727773363</v>
      </c>
      <c r="U54" s="545"/>
      <c r="V54" s="545">
        <f>L54+N54+P54+R54+T54</f>
        <v>86.744942105930107</v>
      </c>
      <c r="W54" s="545">
        <f>M54+O54+S54</f>
        <v>0</v>
      </c>
    </row>
    <row r="55" spans="1:23" s="539" customFormat="1" ht="8.1" customHeight="1" x14ac:dyDescent="0.25">
      <c r="A55" s="726" t="s">
        <v>853</v>
      </c>
      <c r="B55" s="727"/>
      <c r="C55" s="755" t="s">
        <v>854</v>
      </c>
      <c r="D55" s="756"/>
      <c r="E55" s="756"/>
      <c r="F55" s="756"/>
      <c r="G55" s="757"/>
      <c r="H55" s="540" t="s">
        <v>807</v>
      </c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0"/>
    </row>
    <row r="56" spans="1:23" s="539" customFormat="1" ht="8.1" customHeight="1" x14ac:dyDescent="0.25">
      <c r="A56" s="726" t="s">
        <v>855</v>
      </c>
      <c r="B56" s="727"/>
      <c r="C56" s="742" t="s">
        <v>856</v>
      </c>
      <c r="D56" s="743"/>
      <c r="E56" s="743"/>
      <c r="F56" s="743"/>
      <c r="G56" s="744"/>
      <c r="H56" s="540" t="s">
        <v>807</v>
      </c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0"/>
    </row>
    <row r="57" spans="1:23" s="539" customFormat="1" ht="8.1" customHeight="1" x14ac:dyDescent="0.25">
      <c r="A57" s="745" t="s">
        <v>834</v>
      </c>
      <c r="B57" s="746"/>
      <c r="C57" s="758" t="s">
        <v>857</v>
      </c>
      <c r="D57" s="759"/>
      <c r="E57" s="759"/>
      <c r="F57" s="759"/>
      <c r="G57" s="760"/>
      <c r="H57" s="543" t="s">
        <v>807</v>
      </c>
      <c r="I57" s="544">
        <v>3.782</v>
      </c>
      <c r="J57" s="544">
        <v>13.332000000000001</v>
      </c>
      <c r="K57" s="544">
        <v>13.686999999999999</v>
      </c>
      <c r="L57" s="544">
        <f>13.687*Ф17!E15</f>
        <v>14.343976</v>
      </c>
      <c r="M57" s="544"/>
      <c r="N57" s="544">
        <f>13.687*Ф17!E15*Ф17!F15</f>
        <v>15.018142871999999</v>
      </c>
      <c r="O57" s="544"/>
      <c r="P57" s="544">
        <f>13.687*Ф17!E15*Ф17!F15*Ф17!G15</f>
        <v>15.723995586983998</v>
      </c>
      <c r="Q57" s="544"/>
      <c r="R57" s="544">
        <f>13.687*Ф17!E15*Ф17!F15*Ф17!G15*Ф17!H15</f>
        <v>16.463023379572245</v>
      </c>
      <c r="S57" s="544"/>
      <c r="T57" s="544">
        <f>13.687*Ф17!E15*Ф17!F15*Ф17!G15*Ф17!H15*Ф17!I15</f>
        <v>17.236785478412141</v>
      </c>
      <c r="U57" s="544"/>
      <c r="V57" s="545">
        <f>L57+N57+P57+R57+T57</f>
        <v>78.785923316968379</v>
      </c>
      <c r="W57" s="545">
        <f>M57+O57+S57</f>
        <v>0</v>
      </c>
    </row>
    <row r="58" spans="1:23" s="539" customFormat="1" ht="8.1" customHeight="1" x14ac:dyDescent="0.25">
      <c r="A58" s="745" t="s">
        <v>858</v>
      </c>
      <c r="B58" s="746"/>
      <c r="C58" s="758" t="s">
        <v>859</v>
      </c>
      <c r="D58" s="759"/>
      <c r="E58" s="759"/>
      <c r="F58" s="759"/>
      <c r="G58" s="760"/>
      <c r="H58" s="543" t="s">
        <v>807</v>
      </c>
      <c r="I58" s="544">
        <f>0.163+0.128</f>
        <v>0.29100000000000004</v>
      </c>
      <c r="J58" s="544">
        <f>0.371</f>
        <v>0.371</v>
      </c>
      <c r="K58" s="544">
        <f>0.381</f>
        <v>0.38100000000000001</v>
      </c>
      <c r="L58" s="544">
        <f>0.381*Ф17!E15</f>
        <v>0.39928800000000003</v>
      </c>
      <c r="M58" s="544"/>
      <c r="N58" s="544">
        <f>0.381*Ф17!E15*Ф17!F15</f>
        <v>0.41805453600000003</v>
      </c>
      <c r="O58" s="544"/>
      <c r="P58" s="544">
        <f>0.381*Ф17!E15*Ф17!F15*Ф17!G15</f>
        <v>0.43770309919200001</v>
      </c>
      <c r="Q58" s="544"/>
      <c r="R58" s="544">
        <f>0.381*Ф17!E15*Ф17!F15*Ф17!G15*Ф17!H15</f>
        <v>0.45827514485402399</v>
      </c>
      <c r="S58" s="544"/>
      <c r="T58" s="544">
        <f>0.381*Ф17!E15*Ф17!F15*Ф17!G15*Ф17!H15*Ф17!I15</f>
        <v>0.47981407666216308</v>
      </c>
      <c r="U58" s="544"/>
      <c r="V58" s="545">
        <f>L58+N58+P58+R58+T58</f>
        <v>2.1931348567081872</v>
      </c>
      <c r="W58" s="545">
        <f>M58+O58+S58</f>
        <v>0</v>
      </c>
    </row>
    <row r="59" spans="1:23" s="539" customFormat="1" ht="8.1" customHeight="1" x14ac:dyDescent="0.25">
      <c r="A59" s="750" t="s">
        <v>860</v>
      </c>
      <c r="B59" s="751"/>
      <c r="C59" s="798" t="s">
        <v>861</v>
      </c>
      <c r="D59" s="799"/>
      <c r="E59" s="799"/>
      <c r="F59" s="799"/>
      <c r="G59" s="800"/>
      <c r="H59" s="548" t="s">
        <v>807</v>
      </c>
      <c r="I59" s="549">
        <f t="shared" ref="I59:K59" si="16">I64</f>
        <v>35.329000000000001</v>
      </c>
      <c r="J59" s="549">
        <f t="shared" si="16"/>
        <v>6.444</v>
      </c>
      <c r="K59" s="549">
        <f t="shared" si="16"/>
        <v>6.6159999999999997</v>
      </c>
      <c r="L59" s="549">
        <f t="shared" ref="L59" si="17">L64</f>
        <v>6.9335680000000002</v>
      </c>
      <c r="M59" s="549">
        <f t="shared" ref="M59:W59" si="18">M64</f>
        <v>0</v>
      </c>
      <c r="N59" s="549">
        <f t="shared" si="18"/>
        <v>7.2594456959999993</v>
      </c>
      <c r="O59" s="549">
        <f t="shared" si="18"/>
        <v>0</v>
      </c>
      <c r="P59" s="549">
        <f t="shared" si="18"/>
        <v>7.6006396437119985</v>
      </c>
      <c r="Q59" s="549">
        <f t="shared" ref="Q59:R59" si="19">Q64</f>
        <v>0</v>
      </c>
      <c r="R59" s="549">
        <f t="shared" si="19"/>
        <v>7.9578697069664619</v>
      </c>
      <c r="S59" s="549">
        <f t="shared" si="18"/>
        <v>0</v>
      </c>
      <c r="T59" s="549">
        <f t="shared" si="18"/>
        <v>8.3318895831938846</v>
      </c>
      <c r="U59" s="549">
        <f t="shared" ref="U59" si="20">U64</f>
        <v>0</v>
      </c>
      <c r="V59" s="549">
        <f t="shared" si="18"/>
        <v>38.083412629872342</v>
      </c>
      <c r="W59" s="549">
        <f t="shared" si="18"/>
        <v>0</v>
      </c>
    </row>
    <row r="60" spans="1:23" s="539" customFormat="1" ht="16.5" customHeight="1" x14ac:dyDescent="0.25">
      <c r="A60" s="726" t="s">
        <v>862</v>
      </c>
      <c r="B60" s="727"/>
      <c r="C60" s="731" t="s">
        <v>863</v>
      </c>
      <c r="D60" s="732"/>
      <c r="E60" s="732"/>
      <c r="F60" s="732"/>
      <c r="G60" s="733"/>
      <c r="H60" s="540" t="s">
        <v>807</v>
      </c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0"/>
    </row>
    <row r="61" spans="1:23" s="539" customFormat="1" ht="16.5" customHeight="1" x14ac:dyDescent="0.25">
      <c r="A61" s="726" t="s">
        <v>864</v>
      </c>
      <c r="B61" s="727"/>
      <c r="C61" s="731" t="s">
        <v>865</v>
      </c>
      <c r="D61" s="732"/>
      <c r="E61" s="732"/>
      <c r="F61" s="732"/>
      <c r="G61" s="733"/>
      <c r="H61" s="540" t="s">
        <v>807</v>
      </c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0"/>
    </row>
    <row r="62" spans="1:23" s="539" customFormat="1" ht="8.1" customHeight="1" x14ac:dyDescent="0.25">
      <c r="A62" s="726" t="s">
        <v>866</v>
      </c>
      <c r="B62" s="727"/>
      <c r="C62" s="731" t="s">
        <v>867</v>
      </c>
      <c r="D62" s="732"/>
      <c r="E62" s="732"/>
      <c r="F62" s="732"/>
      <c r="G62" s="733"/>
      <c r="H62" s="540" t="s">
        <v>807</v>
      </c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0"/>
    </row>
    <row r="63" spans="1:23" s="539" customFormat="1" ht="8.1" customHeight="1" x14ac:dyDescent="0.25">
      <c r="A63" s="726" t="s">
        <v>868</v>
      </c>
      <c r="B63" s="727"/>
      <c r="C63" s="731" t="s">
        <v>869</v>
      </c>
      <c r="D63" s="732"/>
      <c r="E63" s="732"/>
      <c r="F63" s="732"/>
      <c r="G63" s="733"/>
      <c r="H63" s="540" t="s">
        <v>807</v>
      </c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0"/>
    </row>
    <row r="64" spans="1:23" s="539" customFormat="1" ht="8.1" customHeight="1" x14ac:dyDescent="0.25">
      <c r="A64" s="745" t="s">
        <v>870</v>
      </c>
      <c r="B64" s="746"/>
      <c r="C64" s="758" t="s">
        <v>871</v>
      </c>
      <c r="D64" s="759"/>
      <c r="E64" s="759"/>
      <c r="F64" s="759"/>
      <c r="G64" s="760"/>
      <c r="H64" s="543" t="s">
        <v>807</v>
      </c>
      <c r="I64" s="544">
        <f>34.218+1.111</f>
        <v>35.329000000000001</v>
      </c>
      <c r="J64" s="544">
        <v>6.444</v>
      </c>
      <c r="K64" s="544">
        <v>6.6159999999999997</v>
      </c>
      <c r="L64" s="544">
        <f>6.616*Ф17!E15</f>
        <v>6.9335680000000002</v>
      </c>
      <c r="M64" s="544"/>
      <c r="N64" s="544">
        <f>6.616*Ф17!E15*Ф17!F15</f>
        <v>7.2594456959999993</v>
      </c>
      <c r="O64" s="544"/>
      <c r="P64" s="544">
        <f>6.616*Ф17!E15*Ф17!F15*Ф17!G15</f>
        <v>7.6006396437119985</v>
      </c>
      <c r="Q64" s="544"/>
      <c r="R64" s="544">
        <f>6.616*Ф17!E15*Ф17!F15*Ф17!G15*Ф17!H15</f>
        <v>7.9578697069664619</v>
      </c>
      <c r="S64" s="544"/>
      <c r="T64" s="544">
        <f>6.616*Ф17!E15*Ф17!F15*Ф17!G15*Ф17!H15*Ф17!I15</f>
        <v>8.3318895831938846</v>
      </c>
      <c r="U64" s="544"/>
      <c r="V64" s="545">
        <f>L64+N64+P64+R64+T64</f>
        <v>38.083412629872342</v>
      </c>
      <c r="W64" s="545">
        <f>M64+O64+S64</f>
        <v>0</v>
      </c>
    </row>
    <row r="65" spans="1:23" s="539" customFormat="1" ht="8.1" customHeight="1" x14ac:dyDescent="0.25">
      <c r="A65" s="745" t="s">
        <v>872</v>
      </c>
      <c r="B65" s="746"/>
      <c r="C65" s="747" t="s">
        <v>873</v>
      </c>
      <c r="D65" s="748"/>
      <c r="E65" s="748"/>
      <c r="F65" s="748"/>
      <c r="G65" s="749"/>
      <c r="H65" s="543" t="s">
        <v>807</v>
      </c>
      <c r="I65" s="544">
        <f>12.224+3.651+1.8</f>
        <v>17.675000000000001</v>
      </c>
      <c r="J65" s="544">
        <f>12.33+3.748+2</f>
        <v>18.077999999999999</v>
      </c>
      <c r="K65" s="544">
        <f>12.658+3.748</f>
        <v>16.405999999999999</v>
      </c>
      <c r="L65" s="544">
        <f>(12.658+3.748)*Ф17!E15</f>
        <v>17.193487999999999</v>
      </c>
      <c r="M65" s="544"/>
      <c r="N65" s="544">
        <f>(12.658+3.748)*Ф17!E15*Ф17!F15</f>
        <v>18.001581935999997</v>
      </c>
      <c r="O65" s="544"/>
      <c r="P65" s="544">
        <f>(12.658+3.748)*Ф17!E15*Ф17!F15*Ф17!G15</f>
        <v>18.847656286991995</v>
      </c>
      <c r="Q65" s="544"/>
      <c r="R65" s="544">
        <f>(12.658+3.748)*Ф17!E15*Ф17!F15*Ф17!G15*Ф17!H15</f>
        <v>19.733496132480617</v>
      </c>
      <c r="S65" s="544"/>
      <c r="T65" s="544">
        <f>(12.658+3.748)*Ф17!E15*Ф17!F15*Ф17!G15*Ф17!H15*Ф17!I15</f>
        <v>20.660970450707204</v>
      </c>
      <c r="U65" s="544"/>
      <c r="V65" s="545">
        <f t="shared" ref="V65:V75" si="21">L65+N65+P65+R65+T65</f>
        <v>94.437192806179809</v>
      </c>
      <c r="W65" s="545">
        <f>M65+O65+S65</f>
        <v>0</v>
      </c>
    </row>
    <row r="66" spans="1:23" s="539" customFormat="1" ht="8.1" customHeight="1" x14ac:dyDescent="0.25">
      <c r="A66" s="745" t="s">
        <v>874</v>
      </c>
      <c r="B66" s="746"/>
      <c r="C66" s="747" t="s">
        <v>875</v>
      </c>
      <c r="D66" s="748"/>
      <c r="E66" s="748"/>
      <c r="F66" s="748"/>
      <c r="G66" s="749"/>
      <c r="H66" s="543" t="s">
        <v>807</v>
      </c>
      <c r="I66" s="544">
        <v>1.8480000000000001</v>
      </c>
      <c r="J66" s="544">
        <v>1.3660000000000001</v>
      </c>
      <c r="K66" s="544">
        <v>5.2930000000000001</v>
      </c>
      <c r="L66" s="544">
        <f>5.293*Ф17!E15</f>
        <v>5.5470640000000007</v>
      </c>
      <c r="M66" s="544"/>
      <c r="N66" s="544">
        <f>5.293*Ф17!E15*Ф17!F15</f>
        <v>5.8077760080000003</v>
      </c>
      <c r="O66" s="544"/>
      <c r="P66" s="544">
        <f>5.293*Ф17!E15*Ф17!F15*Ф17!G15</f>
        <v>6.080741480376</v>
      </c>
      <c r="Q66" s="544"/>
      <c r="R66" s="544">
        <f>5.293*Ф17!E15*Ф17!F15*Ф17!G15*Ф17!H15</f>
        <v>6.3665363299536715</v>
      </c>
      <c r="S66" s="544"/>
      <c r="T66" s="544">
        <f>5.293*Ф17!E15*Ф17!F15*Ф17!G15*Ф17!H15*Ф17!I15</f>
        <v>6.6657635374614932</v>
      </c>
      <c r="U66" s="544"/>
      <c r="V66" s="545">
        <f t="shared" si="21"/>
        <v>30.467881355791167</v>
      </c>
      <c r="W66" s="545">
        <f>M66+O66+S66</f>
        <v>0</v>
      </c>
    </row>
    <row r="67" spans="1:23" s="539" customFormat="1" ht="8.1" customHeight="1" x14ac:dyDescent="0.25">
      <c r="A67" s="745" t="s">
        <v>876</v>
      </c>
      <c r="B67" s="746"/>
      <c r="C67" s="747" t="s">
        <v>877</v>
      </c>
      <c r="D67" s="748"/>
      <c r="E67" s="748"/>
      <c r="F67" s="748"/>
      <c r="G67" s="749"/>
      <c r="H67" s="543" t="s">
        <v>807</v>
      </c>
      <c r="I67" s="544">
        <f t="shared" ref="I67:K67" si="22">I69+I68</f>
        <v>0.14500000000000002</v>
      </c>
      <c r="J67" s="544">
        <f t="shared" si="22"/>
        <v>0.26900000000000002</v>
      </c>
      <c r="K67" s="544">
        <f t="shared" si="22"/>
        <v>0.26900000000000002</v>
      </c>
      <c r="L67" s="544">
        <f t="shared" ref="L67" si="23">L69+L68</f>
        <v>0.281912</v>
      </c>
      <c r="M67" s="544"/>
      <c r="N67" s="544">
        <f t="shared" ref="N67" si="24">N69+N68</f>
        <v>0.295161864</v>
      </c>
      <c r="O67" s="544"/>
      <c r="P67" s="544">
        <f t="shared" ref="P67" si="25">P69+P68</f>
        <v>0.30903447160800002</v>
      </c>
      <c r="Q67" s="544"/>
      <c r="R67" s="544">
        <f t="shared" ref="R67" si="26">R69+R68</f>
        <v>0.323559091773576</v>
      </c>
      <c r="S67" s="544"/>
      <c r="T67" s="544">
        <f t="shared" ref="T67" si="27">T69+T68</f>
        <v>0.33876636908693403</v>
      </c>
      <c r="U67" s="544"/>
      <c r="V67" s="545">
        <f t="shared" si="21"/>
        <v>1.54843379646851</v>
      </c>
      <c r="W67" s="544">
        <f t="shared" ref="W67" si="28">W69+W68</f>
        <v>0</v>
      </c>
    </row>
    <row r="68" spans="1:23" s="539" customFormat="1" ht="8.1" customHeight="1" x14ac:dyDescent="0.25">
      <c r="A68" s="745" t="s">
        <v>878</v>
      </c>
      <c r="B68" s="746"/>
      <c r="C68" s="758" t="s">
        <v>879</v>
      </c>
      <c r="D68" s="759"/>
      <c r="E68" s="759"/>
      <c r="F68" s="759"/>
      <c r="G68" s="760"/>
      <c r="H68" s="543" t="s">
        <v>807</v>
      </c>
      <c r="I68" s="544">
        <v>9.8000000000000004E-2</v>
      </c>
      <c r="J68" s="544">
        <v>0.26700000000000002</v>
      </c>
      <c r="K68" s="544">
        <v>0.26700000000000002</v>
      </c>
      <c r="L68" s="544">
        <f>0.267*Ф17!E15</f>
        <v>0.27981600000000001</v>
      </c>
      <c r="M68" s="544"/>
      <c r="N68" s="544">
        <f>0.267*Ф17!E15*Ф17!F15</f>
        <v>0.29296735200000001</v>
      </c>
      <c r="O68" s="544"/>
      <c r="P68" s="544">
        <f>0.267*Ф17!E15*Ф17!F15*Ф17!G15</f>
        <v>0.30673681754400001</v>
      </c>
      <c r="Q68" s="544"/>
      <c r="R68" s="544">
        <f>0.267*Ф17!E15*Ф17!F15*Ф17!G15*Ф17!H15</f>
        <v>0.32115344796856798</v>
      </c>
      <c r="S68" s="544"/>
      <c r="T68" s="544">
        <f>0.267*Ф17!E15*Ф17!F15*Ф17!G15*Ф17!H15*Ф17!I15</f>
        <v>0.33624766002309064</v>
      </c>
      <c r="U68" s="544"/>
      <c r="V68" s="545">
        <f t="shared" si="21"/>
        <v>1.5369212775356587</v>
      </c>
      <c r="W68" s="545">
        <f>M68+O68+S68</f>
        <v>0</v>
      </c>
    </row>
    <row r="69" spans="1:23" s="539" customFormat="1" ht="8.1" customHeight="1" x14ac:dyDescent="0.25">
      <c r="A69" s="745" t="s">
        <v>880</v>
      </c>
      <c r="B69" s="746"/>
      <c r="C69" s="758" t="s">
        <v>881</v>
      </c>
      <c r="D69" s="759"/>
      <c r="E69" s="759"/>
      <c r="F69" s="759"/>
      <c r="G69" s="760"/>
      <c r="H69" s="543" t="s">
        <v>807</v>
      </c>
      <c r="I69" s="544">
        <v>4.7E-2</v>
      </c>
      <c r="J69" s="544">
        <v>2E-3</v>
      </c>
      <c r="K69" s="544">
        <v>2E-3</v>
      </c>
      <c r="L69" s="544">
        <f>0.002*Ф17!E15</f>
        <v>2.0960000000000002E-3</v>
      </c>
      <c r="M69" s="544"/>
      <c r="N69" s="544">
        <f>0.002*Ф17!E15*Ф17!F15</f>
        <v>2.194512E-3</v>
      </c>
      <c r="O69" s="544"/>
      <c r="P69" s="544">
        <f>0.002*Ф17!E15*Ф17!F15*Ф17!G15</f>
        <v>2.2976540639999998E-3</v>
      </c>
      <c r="Q69" s="544"/>
      <c r="R69" s="544">
        <f>0.002*Ф17!E15*Ф17!F15*Ф17!G15*Ф17!H15</f>
        <v>2.4056438050079998E-3</v>
      </c>
      <c r="S69" s="544"/>
      <c r="T69" s="544">
        <f>0.002*Ф17!E15*Ф17!F15*Ф17!G15*Ф17!H15*Ф17!I15</f>
        <v>2.5187090638433755E-3</v>
      </c>
      <c r="U69" s="544"/>
      <c r="V69" s="545">
        <f t="shared" si="21"/>
        <v>1.1512518932851375E-2</v>
      </c>
      <c r="W69" s="545">
        <f>M69+O69+S69</f>
        <v>0</v>
      </c>
    </row>
    <row r="70" spans="1:23" s="539" customFormat="1" ht="8.1" customHeight="1" x14ac:dyDescent="0.25">
      <c r="A70" s="745" t="s">
        <v>882</v>
      </c>
      <c r="B70" s="746"/>
      <c r="C70" s="747" t="s">
        <v>883</v>
      </c>
      <c r="D70" s="748"/>
      <c r="E70" s="748"/>
      <c r="F70" s="748"/>
      <c r="G70" s="749"/>
      <c r="H70" s="543" t="s">
        <v>807</v>
      </c>
      <c r="I70" s="544">
        <f t="shared" ref="I70:K70" si="29">SUM(I71:I73)</f>
        <v>25.288</v>
      </c>
      <c r="J70" s="544">
        <f t="shared" si="29"/>
        <v>24.344000000000001</v>
      </c>
      <c r="K70" s="544">
        <f t="shared" si="29"/>
        <v>24.536999999999999</v>
      </c>
      <c r="L70" s="544">
        <f t="shared" ref="L70" si="30">SUM(L71:L73)</f>
        <v>25.714776000000001</v>
      </c>
      <c r="M70" s="544"/>
      <c r="N70" s="544">
        <f t="shared" ref="N70" si="31">SUM(N71:N73)</f>
        <v>26.923370471999998</v>
      </c>
      <c r="O70" s="544"/>
      <c r="P70" s="544">
        <f t="shared" ref="P70" si="32">SUM(P71:P73)</f>
        <v>28.188768884183997</v>
      </c>
      <c r="Q70" s="544"/>
      <c r="R70" s="544">
        <f t="shared" ref="R70" si="33">SUM(R71:R73)</f>
        <v>29.513641021740643</v>
      </c>
      <c r="S70" s="544"/>
      <c r="T70" s="544">
        <f t="shared" ref="T70" si="34">SUM(T71:T73)</f>
        <v>30.900782149762449</v>
      </c>
      <c r="U70" s="544"/>
      <c r="V70" s="545">
        <f t="shared" si="21"/>
        <v>141.24133852768711</v>
      </c>
      <c r="W70" s="544">
        <f t="shared" ref="W70" si="35">SUM(W71:W73)</f>
        <v>0</v>
      </c>
    </row>
    <row r="71" spans="1:23" s="539" customFormat="1" ht="8.1" customHeight="1" x14ac:dyDescent="0.25">
      <c r="A71" s="745" t="s">
        <v>884</v>
      </c>
      <c r="B71" s="746"/>
      <c r="C71" s="758" t="s">
        <v>885</v>
      </c>
      <c r="D71" s="759"/>
      <c r="E71" s="759"/>
      <c r="F71" s="759"/>
      <c r="G71" s="760"/>
      <c r="H71" s="543" t="s">
        <v>807</v>
      </c>
      <c r="I71" s="544">
        <f>0.042+0.339+0.159+2.064+0.016</f>
        <v>2.62</v>
      </c>
      <c r="J71" s="544">
        <f>0.021+7.209</f>
        <v>7.2299999999999995</v>
      </c>
      <c r="K71" s="544">
        <f>7.401+0.022</f>
        <v>7.423</v>
      </c>
      <c r="L71" s="544">
        <f>(7.401+0.022)*Ф17!E15</f>
        <v>7.7793040000000007</v>
      </c>
      <c r="M71" s="544"/>
      <c r="N71" s="544">
        <f>(7.401+0.022)*Ф17!E15*Ф17!F15</f>
        <v>8.1449312880000004</v>
      </c>
      <c r="O71" s="544"/>
      <c r="P71" s="544">
        <f>(7.401+0.022)*Ф17!E15*Ф17!F15*Ф17!G15</f>
        <v>8.5277430585360001</v>
      </c>
      <c r="Q71" s="544"/>
      <c r="R71" s="544">
        <f>(7.401+0.022)*Ф17!E15*Ф17!F15*Ф17!G15*Ф17!H15</f>
        <v>8.928546982287191</v>
      </c>
      <c r="S71" s="544"/>
      <c r="T71" s="544">
        <f>(7.401+0.022)*Ф17!E15*Ф17!F15*Ф17!G15*Ф17!H15*Ф17!I15</f>
        <v>9.3481886904546876</v>
      </c>
      <c r="U71" s="544"/>
      <c r="V71" s="545">
        <f t="shared" si="21"/>
        <v>42.728714019277888</v>
      </c>
      <c r="W71" s="545">
        <f>M71+O71+S71</f>
        <v>0</v>
      </c>
    </row>
    <row r="72" spans="1:23" s="539" customFormat="1" ht="8.1" customHeight="1" x14ac:dyDescent="0.25">
      <c r="A72" s="745" t="s">
        <v>886</v>
      </c>
      <c r="B72" s="746"/>
      <c r="C72" s="758" t="s">
        <v>887</v>
      </c>
      <c r="D72" s="759"/>
      <c r="E72" s="759"/>
      <c r="F72" s="759"/>
      <c r="G72" s="760"/>
      <c r="H72" s="543" t="s">
        <v>807</v>
      </c>
      <c r="I72" s="544">
        <v>21.632999999999999</v>
      </c>
      <c r="J72" s="544">
        <v>17.096</v>
      </c>
      <c r="K72" s="544">
        <v>17.096</v>
      </c>
      <c r="L72" s="544">
        <f>17.096*Ф17!E15</f>
        <v>17.916608</v>
      </c>
      <c r="M72" s="544"/>
      <c r="N72" s="544">
        <f>17.096*Ф17!E15*Ф17!F15</f>
        <v>18.758688575999997</v>
      </c>
      <c r="O72" s="544"/>
      <c r="P72" s="544">
        <f>17.096*Ф17!E15*Ф17!F15*Ф17!G15</f>
        <v>19.640346939071996</v>
      </c>
      <c r="Q72" s="544"/>
      <c r="R72" s="544">
        <f>17.096*Ф17!E15*Ф17!F15*Ф17!G15*Ф17!H15</f>
        <v>20.563443245208379</v>
      </c>
      <c r="S72" s="544"/>
      <c r="T72" s="544">
        <f>17.096*Ф17!E15*Ф17!F15*Ф17!G15*Ф17!H15*Ф17!I15</f>
        <v>21.529925077733171</v>
      </c>
      <c r="U72" s="544"/>
      <c r="V72" s="545">
        <f t="shared" si="21"/>
        <v>98.409011838013541</v>
      </c>
      <c r="W72" s="545">
        <f>M72+O72+S72</f>
        <v>0</v>
      </c>
    </row>
    <row r="73" spans="1:23" s="539" customFormat="1" ht="9" thickBot="1" x14ac:dyDescent="0.3">
      <c r="A73" s="820" t="s">
        <v>888</v>
      </c>
      <c r="B73" s="821"/>
      <c r="C73" s="822" t="s">
        <v>889</v>
      </c>
      <c r="D73" s="823"/>
      <c r="E73" s="823"/>
      <c r="F73" s="823"/>
      <c r="G73" s="824"/>
      <c r="H73" s="551" t="s">
        <v>807</v>
      </c>
      <c r="I73" s="552">
        <f>0.01+0.966+0.059</f>
        <v>1.0349999999999999</v>
      </c>
      <c r="J73" s="552">
        <f>0.007+0.011</f>
        <v>1.7999999999999999E-2</v>
      </c>
      <c r="K73" s="552">
        <f>0.011+0.007</f>
        <v>1.7999999999999999E-2</v>
      </c>
      <c r="L73" s="552">
        <f>(0.011+0.007)*Ф17!E15</f>
        <v>1.8863999999999999E-2</v>
      </c>
      <c r="M73" s="552"/>
      <c r="N73" s="552">
        <f>(0.011+0.007)*Ф17!E15*Ф17!F15</f>
        <v>1.9750607999999996E-2</v>
      </c>
      <c r="O73" s="552"/>
      <c r="P73" s="552">
        <f>(0.011+0.007)*Ф17!E15*Ф17!F15*Ф17!G15</f>
        <v>2.0678886575999995E-2</v>
      </c>
      <c r="Q73" s="552"/>
      <c r="R73" s="552">
        <f>(0.011+0.007)*Ф17!E15*Ф17!F15*Ф17!G15*Ф17!H15</f>
        <v>2.1650794245071991E-2</v>
      </c>
      <c r="S73" s="552"/>
      <c r="T73" s="552">
        <f>(0.011+0.007)*Ф17!E15*Ф17!F15*Ф17!G15*Ф17!H15*Ф17!I15</f>
        <v>2.2668381574590373E-2</v>
      </c>
      <c r="U73" s="552"/>
      <c r="V73" s="545">
        <f>L73+N73+P73+R73+T73</f>
        <v>0.10361267039566235</v>
      </c>
      <c r="W73" s="545">
        <f>M73+O73+S73</f>
        <v>0</v>
      </c>
    </row>
    <row r="74" spans="1:23" s="539" customFormat="1" ht="9.75" customHeight="1" x14ac:dyDescent="0.25">
      <c r="A74" s="810" t="s">
        <v>890</v>
      </c>
      <c r="B74" s="811"/>
      <c r="C74" s="825" t="s">
        <v>891</v>
      </c>
      <c r="D74" s="826"/>
      <c r="E74" s="826"/>
      <c r="F74" s="826"/>
      <c r="G74" s="827"/>
      <c r="H74" s="536" t="s">
        <v>807</v>
      </c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6"/>
    </row>
    <row r="75" spans="1:23" s="539" customFormat="1" ht="8.1" customHeight="1" x14ac:dyDescent="0.25">
      <c r="A75" s="745" t="s">
        <v>892</v>
      </c>
      <c r="B75" s="746"/>
      <c r="C75" s="758" t="s">
        <v>893</v>
      </c>
      <c r="D75" s="759"/>
      <c r="E75" s="759"/>
      <c r="F75" s="759"/>
      <c r="G75" s="760"/>
      <c r="H75" s="543" t="s">
        <v>807</v>
      </c>
      <c r="I75" s="544">
        <v>38</v>
      </c>
      <c r="J75" s="544">
        <v>19.777000000000001</v>
      </c>
      <c r="K75" s="544">
        <v>20.303000000000001</v>
      </c>
      <c r="L75" s="544">
        <f>20.303*Ф17!E15</f>
        <v>21.277544000000002</v>
      </c>
      <c r="M75" s="544"/>
      <c r="N75" s="544">
        <f>20.303*Ф17!E15*Ф17!F15</f>
        <v>22.277588568000002</v>
      </c>
      <c r="O75" s="544"/>
      <c r="P75" s="544">
        <f>20.303*Ф17!E15*Ф17!F15*Ф17!G15</f>
        <v>23.324635230696</v>
      </c>
      <c r="Q75" s="544"/>
      <c r="R75" s="544">
        <f>20.303*Ф17!E15*Ф17!F15*Ф17!G15*Ф17!H15</f>
        <v>24.420893086538712</v>
      </c>
      <c r="S75" s="544"/>
      <c r="T75" s="544">
        <f>20.303*Ф17!E15*Ф17!F15*Ф17!G15*Ф17!H15*Ф17!I15</f>
        <v>25.568675061606029</v>
      </c>
      <c r="U75" s="544"/>
      <c r="V75" s="545">
        <f t="shared" si="21"/>
        <v>116.86933594684075</v>
      </c>
      <c r="W75" s="545">
        <f>M75+O75+S75</f>
        <v>0</v>
      </c>
    </row>
    <row r="76" spans="1:23" s="539" customFormat="1" ht="8.1" customHeight="1" x14ac:dyDescent="0.25">
      <c r="A76" s="745" t="s">
        <v>894</v>
      </c>
      <c r="B76" s="746"/>
      <c r="C76" s="758" t="s">
        <v>895</v>
      </c>
      <c r="D76" s="759"/>
      <c r="E76" s="759"/>
      <c r="F76" s="759"/>
      <c r="G76" s="760"/>
      <c r="H76" s="543" t="s">
        <v>807</v>
      </c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3"/>
    </row>
    <row r="77" spans="1:23" s="539" customFormat="1" ht="9" thickBot="1" x14ac:dyDescent="0.3">
      <c r="A77" s="820" t="s">
        <v>896</v>
      </c>
      <c r="B77" s="821"/>
      <c r="C77" s="822" t="s">
        <v>897</v>
      </c>
      <c r="D77" s="823"/>
      <c r="E77" s="823"/>
      <c r="F77" s="823"/>
      <c r="G77" s="824"/>
      <c r="H77" s="553" t="s">
        <v>807</v>
      </c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3"/>
    </row>
    <row r="78" spans="1:23" s="539" customFormat="1" ht="9" customHeight="1" x14ac:dyDescent="0.25">
      <c r="A78" s="810" t="s">
        <v>898</v>
      </c>
      <c r="B78" s="811"/>
      <c r="C78" s="812" t="s">
        <v>899</v>
      </c>
      <c r="D78" s="813"/>
      <c r="E78" s="813"/>
      <c r="F78" s="813"/>
      <c r="G78" s="814"/>
      <c r="H78" s="536" t="s">
        <v>807</v>
      </c>
      <c r="I78" s="537">
        <f>I84+I86+I92</f>
        <v>27.474999999999994</v>
      </c>
      <c r="J78" s="538">
        <f>J84+J86+J92</f>
        <v>37.657666666666685</v>
      </c>
      <c r="K78" s="538">
        <f t="shared" ref="K78:L78" si="36">K84+K86+K92</f>
        <v>9.6622400000000113</v>
      </c>
      <c r="L78" s="538">
        <f t="shared" si="36"/>
        <v>6.6260275200000223</v>
      </c>
      <c r="M78" s="537">
        <f>M84+M86+M92</f>
        <v>0</v>
      </c>
      <c r="N78" s="538">
        <f t="shared" ref="N78" si="37">N84+N86+N92</f>
        <v>6.1019508134400127</v>
      </c>
      <c r="O78" s="538">
        <f>O84+O86+O92</f>
        <v>0</v>
      </c>
      <c r="P78" s="538">
        <f t="shared" ref="P78" si="38">P84+P86+P92</f>
        <v>5.600242501671687</v>
      </c>
      <c r="Q78" s="538">
        <f t="shared" ref="Q78:R78" si="39">Q84+Q86+Q92</f>
        <v>0</v>
      </c>
      <c r="R78" s="538">
        <f t="shared" si="39"/>
        <v>5.1219538992502578</v>
      </c>
      <c r="S78" s="538">
        <f t="shared" ref="S78:W78" si="40">S84+S86+S92</f>
        <v>0</v>
      </c>
      <c r="T78" s="538">
        <f t="shared" si="40"/>
        <v>4.668185732515056</v>
      </c>
      <c r="U78" s="538">
        <f t="shared" ref="U78" si="41">U84+U86+U92</f>
        <v>0</v>
      </c>
      <c r="V78" s="538">
        <f>V84+V86+V92</f>
        <v>28.118360466877036</v>
      </c>
      <c r="W78" s="538">
        <f t="shared" si="40"/>
        <v>0</v>
      </c>
    </row>
    <row r="79" spans="1:23" s="539" customFormat="1" ht="8.1" customHeight="1" x14ac:dyDescent="0.25">
      <c r="A79" s="726" t="s">
        <v>900</v>
      </c>
      <c r="B79" s="727"/>
      <c r="C79" s="728" t="s">
        <v>808</v>
      </c>
      <c r="D79" s="729"/>
      <c r="E79" s="729"/>
      <c r="F79" s="729"/>
      <c r="G79" s="730"/>
      <c r="H79" s="540" t="s">
        <v>807</v>
      </c>
      <c r="I79" s="542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0"/>
    </row>
    <row r="80" spans="1:23" s="539" customFormat="1" ht="16.5" customHeight="1" x14ac:dyDescent="0.25">
      <c r="A80" s="726" t="s">
        <v>901</v>
      </c>
      <c r="B80" s="727"/>
      <c r="C80" s="731" t="s">
        <v>809</v>
      </c>
      <c r="D80" s="732"/>
      <c r="E80" s="732"/>
      <c r="F80" s="732"/>
      <c r="G80" s="733"/>
      <c r="H80" s="540" t="s">
        <v>807</v>
      </c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0"/>
    </row>
    <row r="81" spans="1:23" s="539" customFormat="1" ht="16.5" customHeight="1" x14ac:dyDescent="0.25">
      <c r="A81" s="726" t="s">
        <v>902</v>
      </c>
      <c r="B81" s="727"/>
      <c r="C81" s="731" t="s">
        <v>810</v>
      </c>
      <c r="D81" s="732"/>
      <c r="E81" s="732"/>
      <c r="F81" s="732"/>
      <c r="G81" s="733"/>
      <c r="H81" s="540" t="s">
        <v>807</v>
      </c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0"/>
    </row>
    <row r="82" spans="1:23" s="539" customFormat="1" ht="16.5" customHeight="1" x14ac:dyDescent="0.25">
      <c r="A82" s="726" t="s">
        <v>903</v>
      </c>
      <c r="B82" s="727"/>
      <c r="C82" s="731" t="s">
        <v>811</v>
      </c>
      <c r="D82" s="732"/>
      <c r="E82" s="732"/>
      <c r="F82" s="732"/>
      <c r="G82" s="733"/>
      <c r="H82" s="540" t="s">
        <v>807</v>
      </c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0"/>
    </row>
    <row r="83" spans="1:23" s="539" customFormat="1" ht="8.1" customHeight="1" x14ac:dyDescent="0.25">
      <c r="A83" s="726" t="s">
        <v>904</v>
      </c>
      <c r="B83" s="727"/>
      <c r="C83" s="728" t="s">
        <v>812</v>
      </c>
      <c r="D83" s="729"/>
      <c r="E83" s="729"/>
      <c r="F83" s="729"/>
      <c r="G83" s="730"/>
      <c r="H83" s="540" t="s">
        <v>807</v>
      </c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0"/>
    </row>
    <row r="84" spans="1:23" s="539" customFormat="1" ht="8.1" customHeight="1" x14ac:dyDescent="0.25">
      <c r="A84" s="745" t="s">
        <v>905</v>
      </c>
      <c r="B84" s="746"/>
      <c r="C84" s="747" t="s">
        <v>813</v>
      </c>
      <c r="D84" s="748"/>
      <c r="E84" s="748"/>
      <c r="F84" s="748"/>
      <c r="G84" s="749"/>
      <c r="H84" s="543" t="s">
        <v>807</v>
      </c>
      <c r="I84" s="544">
        <f>I26-I41</f>
        <v>5.8859999999999957</v>
      </c>
      <c r="J84" s="544">
        <f t="shared" ref="J84:K84" si="42">J26-J41</f>
        <v>11.598000000000013</v>
      </c>
      <c r="K84" s="545">
        <f t="shared" si="42"/>
        <v>9.6622400000000113</v>
      </c>
      <c r="L84" s="545">
        <f t="shared" ref="L84" si="43">L26-L41</f>
        <v>10.126027520000022</v>
      </c>
      <c r="M84" s="544"/>
      <c r="N84" s="545">
        <f t="shared" ref="N84" si="44">N26-N41</f>
        <v>10.601950813440013</v>
      </c>
      <c r="O84" s="544"/>
      <c r="P84" s="545">
        <f t="shared" ref="P84" si="45">P26-P41</f>
        <v>11.100242501671687</v>
      </c>
      <c r="Q84" s="545"/>
      <c r="R84" s="545">
        <f t="shared" ref="R84" si="46">R26-R41</f>
        <v>11.621953899250258</v>
      </c>
      <c r="S84" s="545"/>
      <c r="T84" s="545">
        <f t="shared" ref="T84" si="47">T26-T41</f>
        <v>12.168185732515056</v>
      </c>
      <c r="U84" s="545"/>
      <c r="V84" s="545">
        <f t="shared" ref="V84:V86" si="48">L84+N84+P84+R84+T84</f>
        <v>55.618360466877036</v>
      </c>
      <c r="W84" s="545">
        <f t="shared" ref="W84" si="49">W26-W41</f>
        <v>0</v>
      </c>
    </row>
    <row r="85" spans="1:23" s="539" customFormat="1" ht="8.1" customHeight="1" x14ac:dyDescent="0.25">
      <c r="A85" s="726" t="s">
        <v>906</v>
      </c>
      <c r="B85" s="727"/>
      <c r="C85" s="728" t="s">
        <v>815</v>
      </c>
      <c r="D85" s="729"/>
      <c r="E85" s="729"/>
      <c r="F85" s="729"/>
      <c r="G85" s="730"/>
      <c r="H85" s="540" t="s">
        <v>807</v>
      </c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55"/>
    </row>
    <row r="86" spans="1:23" s="539" customFormat="1" ht="8.1" customHeight="1" x14ac:dyDescent="0.25">
      <c r="A86" s="745" t="s">
        <v>907</v>
      </c>
      <c r="B86" s="746"/>
      <c r="C86" s="747" t="s">
        <v>817</v>
      </c>
      <c r="D86" s="748"/>
      <c r="E86" s="748"/>
      <c r="F86" s="748"/>
      <c r="G86" s="749"/>
      <c r="H86" s="543" t="s">
        <v>807</v>
      </c>
      <c r="I86" s="544">
        <f>I28-I43</f>
        <v>9.5</v>
      </c>
      <c r="J86" s="545">
        <f>J28-J43</f>
        <v>18.259666666666668</v>
      </c>
      <c r="K86" s="544">
        <f t="shared" ref="K86:L86" si="50">K28-K43</f>
        <v>0</v>
      </c>
      <c r="L86" s="544">
        <f t="shared" si="50"/>
        <v>-3.5</v>
      </c>
      <c r="M86" s="544"/>
      <c r="N86" s="544">
        <f t="shared" ref="N86" si="51">N28-N43</f>
        <v>-4.5</v>
      </c>
      <c r="O86" s="545"/>
      <c r="P86" s="544">
        <f t="shared" ref="P86" si="52">P28-P43</f>
        <v>-5.5</v>
      </c>
      <c r="Q86" s="544"/>
      <c r="R86" s="544">
        <f t="shared" ref="R86" si="53">R28-R43</f>
        <v>-6.5</v>
      </c>
      <c r="S86" s="544"/>
      <c r="T86" s="544">
        <f t="shared" ref="T86" si="54">T28-T43</f>
        <v>-7.5</v>
      </c>
      <c r="U86" s="544"/>
      <c r="V86" s="545">
        <f t="shared" si="48"/>
        <v>-27.5</v>
      </c>
      <c r="W86" s="545">
        <f t="shared" ref="W86" si="55">W28-W43</f>
        <v>0</v>
      </c>
    </row>
    <row r="87" spans="1:23" s="539" customFormat="1" ht="8.1" customHeight="1" x14ac:dyDescent="0.25">
      <c r="A87" s="726" t="s">
        <v>908</v>
      </c>
      <c r="B87" s="727"/>
      <c r="C87" s="728" t="s">
        <v>818</v>
      </c>
      <c r="D87" s="729"/>
      <c r="E87" s="729"/>
      <c r="F87" s="729"/>
      <c r="G87" s="730"/>
      <c r="H87" s="540" t="s">
        <v>807</v>
      </c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55"/>
    </row>
    <row r="88" spans="1:23" s="539" customFormat="1" ht="8.1" customHeight="1" x14ac:dyDescent="0.25">
      <c r="A88" s="726" t="s">
        <v>909</v>
      </c>
      <c r="B88" s="727"/>
      <c r="C88" s="728" t="s">
        <v>820</v>
      </c>
      <c r="D88" s="729"/>
      <c r="E88" s="729"/>
      <c r="F88" s="729"/>
      <c r="G88" s="730"/>
      <c r="H88" s="540" t="s">
        <v>807</v>
      </c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55"/>
    </row>
    <row r="89" spans="1:23" s="539" customFormat="1" ht="16.5" customHeight="1" x14ac:dyDescent="0.25">
      <c r="A89" s="726" t="s">
        <v>910</v>
      </c>
      <c r="B89" s="727"/>
      <c r="C89" s="728" t="s">
        <v>822</v>
      </c>
      <c r="D89" s="729"/>
      <c r="E89" s="729"/>
      <c r="F89" s="729"/>
      <c r="G89" s="730"/>
      <c r="H89" s="540" t="s">
        <v>807</v>
      </c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55"/>
    </row>
    <row r="90" spans="1:23" s="539" customFormat="1" ht="8.1" customHeight="1" x14ac:dyDescent="0.25">
      <c r="A90" s="726" t="s">
        <v>911</v>
      </c>
      <c r="B90" s="727"/>
      <c r="C90" s="731" t="s">
        <v>824</v>
      </c>
      <c r="D90" s="732"/>
      <c r="E90" s="732"/>
      <c r="F90" s="732"/>
      <c r="G90" s="733"/>
      <c r="H90" s="540" t="s">
        <v>807</v>
      </c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55"/>
    </row>
    <row r="91" spans="1:23" s="539" customFormat="1" ht="8.1" customHeight="1" x14ac:dyDescent="0.25">
      <c r="A91" s="726" t="s">
        <v>912</v>
      </c>
      <c r="B91" s="727"/>
      <c r="C91" s="731" t="s">
        <v>826</v>
      </c>
      <c r="D91" s="732"/>
      <c r="E91" s="732"/>
      <c r="F91" s="732"/>
      <c r="G91" s="733"/>
      <c r="H91" s="540" t="s">
        <v>807</v>
      </c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0"/>
    </row>
    <row r="92" spans="1:23" s="539" customFormat="1" ht="8.1" customHeight="1" x14ac:dyDescent="0.25">
      <c r="A92" s="745" t="s">
        <v>913</v>
      </c>
      <c r="B92" s="746"/>
      <c r="C92" s="747" t="s">
        <v>828</v>
      </c>
      <c r="D92" s="748"/>
      <c r="E92" s="748"/>
      <c r="F92" s="748"/>
      <c r="G92" s="749"/>
      <c r="H92" s="543" t="s">
        <v>807</v>
      </c>
      <c r="I92" s="544">
        <f>I34-I49</f>
        <v>12.089</v>
      </c>
      <c r="J92" s="544">
        <f t="shared" ref="J92:K92" si="56">J34-J49</f>
        <v>7.8000000000000007</v>
      </c>
      <c r="K92" s="544">
        <f t="shared" si="56"/>
        <v>0</v>
      </c>
      <c r="L92" s="544">
        <f t="shared" ref="L92" si="57">L34-L49</f>
        <v>0</v>
      </c>
      <c r="M92" s="544">
        <f>M34-M49</f>
        <v>0</v>
      </c>
      <c r="N92" s="544">
        <f t="shared" ref="N92" si="58">N34-N49</f>
        <v>0</v>
      </c>
      <c r="O92" s="544">
        <f t="shared" ref="O92:W92" si="59">O34-O49</f>
        <v>0</v>
      </c>
      <c r="P92" s="544">
        <f t="shared" si="59"/>
        <v>0</v>
      </c>
      <c r="Q92" s="544">
        <f t="shared" ref="Q92:R92" si="60">Q34-Q49</f>
        <v>0</v>
      </c>
      <c r="R92" s="544">
        <f t="shared" si="60"/>
        <v>0</v>
      </c>
      <c r="S92" s="544">
        <f t="shared" si="59"/>
        <v>0</v>
      </c>
      <c r="T92" s="544">
        <f t="shared" si="59"/>
        <v>0</v>
      </c>
      <c r="U92" s="544">
        <f t="shared" ref="U92" si="61">U34-U49</f>
        <v>0</v>
      </c>
      <c r="V92" s="545">
        <f t="shared" ref="V92" si="62">L92+N92+P92+R92+T92</f>
        <v>0</v>
      </c>
      <c r="W92" s="544">
        <f t="shared" si="59"/>
        <v>0</v>
      </c>
    </row>
    <row r="93" spans="1:23" s="539" customFormat="1" x14ac:dyDescent="0.25">
      <c r="A93" s="750" t="s">
        <v>525</v>
      </c>
      <c r="B93" s="751"/>
      <c r="C93" s="752" t="s">
        <v>914</v>
      </c>
      <c r="D93" s="753"/>
      <c r="E93" s="753"/>
      <c r="F93" s="753"/>
      <c r="G93" s="754"/>
      <c r="H93" s="548" t="s">
        <v>807</v>
      </c>
      <c r="I93" s="549">
        <f>I94-I100</f>
        <v>-1.012</v>
      </c>
      <c r="J93" s="549">
        <f t="shared" ref="J93:K93" si="63">J94-J100</f>
        <v>-4.7670000000000003</v>
      </c>
      <c r="K93" s="549">
        <f t="shared" si="63"/>
        <v>0</v>
      </c>
      <c r="L93" s="549">
        <f t="shared" ref="L93" si="64">L94-L100</f>
        <v>0</v>
      </c>
      <c r="M93" s="549">
        <f>M94-M100</f>
        <v>0</v>
      </c>
      <c r="N93" s="549">
        <f t="shared" ref="N93" si="65">N94-N100</f>
        <v>0</v>
      </c>
      <c r="O93" s="549">
        <f t="shared" ref="O93:W93" si="66">O94-O100</f>
        <v>0</v>
      </c>
      <c r="P93" s="549">
        <f t="shared" si="66"/>
        <v>0</v>
      </c>
      <c r="Q93" s="549">
        <f t="shared" ref="Q93:R93" si="67">Q94-Q100</f>
        <v>0</v>
      </c>
      <c r="R93" s="549">
        <f t="shared" si="67"/>
        <v>0</v>
      </c>
      <c r="S93" s="549">
        <f t="shared" si="66"/>
        <v>0</v>
      </c>
      <c r="T93" s="549">
        <f t="shared" si="66"/>
        <v>0</v>
      </c>
      <c r="U93" s="549">
        <f t="shared" ref="U93" si="68">U94-U100</f>
        <v>0</v>
      </c>
      <c r="V93" s="549">
        <f t="shared" si="66"/>
        <v>0</v>
      </c>
      <c r="W93" s="549">
        <f t="shared" si="66"/>
        <v>0</v>
      </c>
    </row>
    <row r="94" spans="1:23" s="539" customFormat="1" ht="8.1" customHeight="1" x14ac:dyDescent="0.25">
      <c r="A94" s="745" t="s">
        <v>19</v>
      </c>
      <c r="B94" s="746"/>
      <c r="C94" s="747" t="s">
        <v>915</v>
      </c>
      <c r="D94" s="748"/>
      <c r="E94" s="748"/>
      <c r="F94" s="748"/>
      <c r="G94" s="749"/>
      <c r="H94" s="543" t="s">
        <v>807</v>
      </c>
      <c r="I94" s="544">
        <f t="shared" ref="I94:K94" si="69">SUM(I95:I99)</f>
        <v>1.7999999999999999E-2</v>
      </c>
      <c r="J94" s="544">
        <f t="shared" si="69"/>
        <v>0</v>
      </c>
      <c r="K94" s="544">
        <f t="shared" si="69"/>
        <v>0</v>
      </c>
      <c r="L94" s="544">
        <f t="shared" ref="L94" si="70">SUM(L95:L99)</f>
        <v>0</v>
      </c>
      <c r="M94" s="544"/>
      <c r="N94" s="544">
        <f t="shared" ref="N94" si="71">SUM(N95:N99)</f>
        <v>0</v>
      </c>
      <c r="O94" s="544"/>
      <c r="P94" s="544">
        <f t="shared" ref="P94" si="72">SUM(P95:P99)</f>
        <v>0</v>
      </c>
      <c r="Q94" s="544"/>
      <c r="R94" s="544">
        <f t="shared" ref="R94" si="73">SUM(R95:R99)</f>
        <v>0</v>
      </c>
      <c r="S94" s="544"/>
      <c r="T94" s="544">
        <f t="shared" ref="T94" si="74">SUM(T95:T99)</f>
        <v>0</v>
      </c>
      <c r="U94" s="544"/>
      <c r="V94" s="545">
        <f t="shared" ref="V94" si="75">L94+N94+P94+R94+T94</f>
        <v>0</v>
      </c>
      <c r="W94" s="544">
        <f t="shared" ref="W94" si="76">SUM(W95:W99)</f>
        <v>0</v>
      </c>
    </row>
    <row r="95" spans="1:23" s="539" customFormat="1" ht="8.1" customHeight="1" x14ac:dyDescent="0.25">
      <c r="A95" s="726" t="s">
        <v>320</v>
      </c>
      <c r="B95" s="727"/>
      <c r="C95" s="731" t="s">
        <v>916</v>
      </c>
      <c r="D95" s="732"/>
      <c r="E95" s="732"/>
      <c r="F95" s="732"/>
      <c r="G95" s="733"/>
      <c r="H95" s="540" t="s">
        <v>807</v>
      </c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0"/>
    </row>
    <row r="96" spans="1:23" s="539" customFormat="1" ht="8.1" customHeight="1" x14ac:dyDescent="0.25">
      <c r="A96" s="726" t="s">
        <v>321</v>
      </c>
      <c r="B96" s="727"/>
      <c r="C96" s="731" t="s">
        <v>917</v>
      </c>
      <c r="D96" s="732"/>
      <c r="E96" s="732"/>
      <c r="F96" s="732"/>
      <c r="G96" s="733"/>
      <c r="H96" s="540" t="s">
        <v>807</v>
      </c>
      <c r="I96" s="542"/>
      <c r="J96" s="542"/>
      <c r="K96" s="542"/>
      <c r="L96" s="542"/>
      <c r="M96" s="542"/>
      <c r="N96" s="542"/>
      <c r="O96" s="542"/>
      <c r="P96" s="542"/>
      <c r="Q96" s="542"/>
      <c r="R96" s="542"/>
      <c r="S96" s="542"/>
      <c r="T96" s="542"/>
      <c r="U96" s="542"/>
      <c r="V96" s="542"/>
      <c r="W96" s="540"/>
    </row>
    <row r="97" spans="1:23" s="539" customFormat="1" ht="8.1" customHeight="1" x14ac:dyDescent="0.25">
      <c r="A97" s="726" t="s">
        <v>322</v>
      </c>
      <c r="B97" s="727"/>
      <c r="C97" s="731" t="s">
        <v>918</v>
      </c>
      <c r="D97" s="732"/>
      <c r="E97" s="732"/>
      <c r="F97" s="732"/>
      <c r="G97" s="733"/>
      <c r="H97" s="540" t="s">
        <v>807</v>
      </c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0"/>
    </row>
    <row r="98" spans="1:23" s="539" customFormat="1" ht="8.1" customHeight="1" x14ac:dyDescent="0.25">
      <c r="A98" s="726" t="s">
        <v>919</v>
      </c>
      <c r="B98" s="727"/>
      <c r="C98" s="742" t="s">
        <v>920</v>
      </c>
      <c r="D98" s="743"/>
      <c r="E98" s="743"/>
      <c r="F98" s="743"/>
      <c r="G98" s="744"/>
      <c r="H98" s="540" t="s">
        <v>807</v>
      </c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0"/>
    </row>
    <row r="99" spans="1:23" s="539" customFormat="1" ht="8.1" customHeight="1" x14ac:dyDescent="0.25">
      <c r="A99" s="726" t="s">
        <v>323</v>
      </c>
      <c r="B99" s="727"/>
      <c r="C99" s="731" t="s">
        <v>921</v>
      </c>
      <c r="D99" s="732"/>
      <c r="E99" s="732"/>
      <c r="F99" s="732"/>
      <c r="G99" s="733"/>
      <c r="H99" s="540" t="s">
        <v>807</v>
      </c>
      <c r="I99" s="542">
        <v>1.7999999999999999E-2</v>
      </c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>
        <f>L99+N99+R99</f>
        <v>0</v>
      </c>
      <c r="W99" s="542">
        <f>M99+O99+S99</f>
        <v>0</v>
      </c>
    </row>
    <row r="100" spans="1:23" s="539" customFormat="1" ht="8.1" customHeight="1" x14ac:dyDescent="0.25">
      <c r="A100" s="745" t="s">
        <v>20</v>
      </c>
      <c r="B100" s="746"/>
      <c r="C100" s="747" t="s">
        <v>883</v>
      </c>
      <c r="D100" s="748"/>
      <c r="E100" s="748"/>
      <c r="F100" s="748"/>
      <c r="G100" s="749"/>
      <c r="H100" s="543" t="s">
        <v>807</v>
      </c>
      <c r="I100" s="544">
        <f t="shared" ref="I100:K100" si="77">SUM(I101:I105)</f>
        <v>1.03</v>
      </c>
      <c r="J100" s="544">
        <f t="shared" si="77"/>
        <v>4.7670000000000003</v>
      </c>
      <c r="K100" s="544">
        <f t="shared" si="77"/>
        <v>0</v>
      </c>
      <c r="L100" s="544">
        <f t="shared" ref="L100" si="78">SUM(L101:L105)</f>
        <v>0</v>
      </c>
      <c r="M100" s="544"/>
      <c r="N100" s="544">
        <f t="shared" ref="N100" si="79">SUM(N101:N105)</f>
        <v>0</v>
      </c>
      <c r="O100" s="544"/>
      <c r="P100" s="544">
        <f t="shared" ref="P100" si="80">SUM(P101:P105)</f>
        <v>0</v>
      </c>
      <c r="Q100" s="544"/>
      <c r="R100" s="544">
        <f t="shared" ref="R100" si="81">SUM(R101:R105)</f>
        <v>0</v>
      </c>
      <c r="S100" s="544"/>
      <c r="T100" s="544">
        <f t="shared" ref="T100" si="82">SUM(T101:T105)</f>
        <v>0</v>
      </c>
      <c r="U100" s="544"/>
      <c r="V100" s="545">
        <f t="shared" ref="V100" si="83">L100+N100+P100+R100+T100</f>
        <v>0</v>
      </c>
      <c r="W100" s="544">
        <v>0</v>
      </c>
    </row>
    <row r="101" spans="1:23" s="539" customFormat="1" ht="8.1" customHeight="1" x14ac:dyDescent="0.25">
      <c r="A101" s="726" t="s">
        <v>327</v>
      </c>
      <c r="B101" s="727"/>
      <c r="C101" s="731" t="s">
        <v>922</v>
      </c>
      <c r="D101" s="732"/>
      <c r="E101" s="732"/>
      <c r="F101" s="732"/>
      <c r="G101" s="733"/>
      <c r="H101" s="540" t="s">
        <v>807</v>
      </c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0"/>
    </row>
    <row r="102" spans="1:23" s="539" customFormat="1" ht="8.1" customHeight="1" x14ac:dyDescent="0.25">
      <c r="A102" s="726" t="s">
        <v>328</v>
      </c>
      <c r="B102" s="727"/>
      <c r="C102" s="731" t="s">
        <v>923</v>
      </c>
      <c r="D102" s="732"/>
      <c r="E102" s="732"/>
      <c r="F102" s="732"/>
      <c r="G102" s="733"/>
      <c r="H102" s="540" t="s">
        <v>807</v>
      </c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0"/>
    </row>
    <row r="103" spans="1:23" s="539" customFormat="1" ht="8.1" customHeight="1" x14ac:dyDescent="0.25">
      <c r="A103" s="726" t="s">
        <v>329</v>
      </c>
      <c r="B103" s="727"/>
      <c r="C103" s="731" t="s">
        <v>924</v>
      </c>
      <c r="D103" s="732"/>
      <c r="E103" s="732"/>
      <c r="F103" s="732"/>
      <c r="G103" s="733"/>
      <c r="H103" s="540" t="s">
        <v>807</v>
      </c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0"/>
    </row>
    <row r="104" spans="1:23" s="539" customFormat="1" ht="8.1" customHeight="1" x14ac:dyDescent="0.25">
      <c r="A104" s="726" t="s">
        <v>925</v>
      </c>
      <c r="B104" s="727"/>
      <c r="C104" s="742" t="s">
        <v>920</v>
      </c>
      <c r="D104" s="743"/>
      <c r="E104" s="743"/>
      <c r="F104" s="743"/>
      <c r="G104" s="744"/>
      <c r="H104" s="540" t="s">
        <v>807</v>
      </c>
      <c r="I104" s="542"/>
      <c r="J104" s="542">
        <v>4.7670000000000003</v>
      </c>
      <c r="K104" s="542"/>
      <c r="L104" s="542"/>
      <c r="M104" s="542"/>
      <c r="N104" s="542"/>
      <c r="O104" s="542">
        <v>4.7670000000000003</v>
      </c>
      <c r="P104" s="542"/>
      <c r="Q104" s="542"/>
      <c r="R104" s="542"/>
      <c r="S104" s="542"/>
      <c r="T104" s="542"/>
      <c r="U104" s="542"/>
      <c r="V104" s="542">
        <f>L104+N104+R104</f>
        <v>0</v>
      </c>
      <c r="W104" s="542">
        <f>M104+O104+S104</f>
        <v>4.7670000000000003</v>
      </c>
    </row>
    <row r="105" spans="1:23" s="539" customFormat="1" ht="8.1" customHeight="1" x14ac:dyDescent="0.25">
      <c r="A105" s="726" t="s">
        <v>330</v>
      </c>
      <c r="B105" s="727"/>
      <c r="C105" s="731" t="s">
        <v>926</v>
      </c>
      <c r="D105" s="732"/>
      <c r="E105" s="732"/>
      <c r="F105" s="732"/>
      <c r="G105" s="733"/>
      <c r="H105" s="540" t="s">
        <v>807</v>
      </c>
      <c r="I105" s="542">
        <v>1.03</v>
      </c>
      <c r="J105" s="542"/>
      <c r="K105" s="542"/>
      <c r="L105" s="542"/>
      <c r="M105" s="542">
        <v>1.03</v>
      </c>
      <c r="N105" s="542"/>
      <c r="O105" s="542"/>
      <c r="P105" s="542"/>
      <c r="Q105" s="542"/>
      <c r="R105" s="542"/>
      <c r="S105" s="542"/>
      <c r="T105" s="542"/>
      <c r="U105" s="542"/>
      <c r="V105" s="542">
        <f>L105+N105+R105</f>
        <v>0</v>
      </c>
      <c r="W105" s="542">
        <f>M105+O105+S105</f>
        <v>1.03</v>
      </c>
    </row>
    <row r="106" spans="1:23" s="539" customFormat="1" ht="9.75" x14ac:dyDescent="0.25">
      <c r="A106" s="750" t="s">
        <v>927</v>
      </c>
      <c r="B106" s="751"/>
      <c r="C106" s="752" t="s">
        <v>928</v>
      </c>
      <c r="D106" s="753"/>
      <c r="E106" s="753"/>
      <c r="F106" s="753"/>
      <c r="G106" s="754"/>
      <c r="H106" s="548" t="s">
        <v>807</v>
      </c>
      <c r="I106" s="556">
        <f t="shared" ref="I106:K106" si="84">I78+I93</f>
        <v>26.462999999999994</v>
      </c>
      <c r="J106" s="557">
        <f t="shared" si="84"/>
        <v>32.890666666666682</v>
      </c>
      <c r="K106" s="550">
        <f t="shared" si="84"/>
        <v>9.6622400000000113</v>
      </c>
      <c r="L106" s="550">
        <f t="shared" ref="L106" si="85">L78+L93</f>
        <v>6.6260275200000223</v>
      </c>
      <c r="M106" s="556">
        <f t="shared" ref="M106:W106" si="86">M78+M93</f>
        <v>0</v>
      </c>
      <c r="N106" s="550">
        <f t="shared" si="86"/>
        <v>6.1019508134400127</v>
      </c>
      <c r="O106" s="557">
        <f t="shared" si="86"/>
        <v>0</v>
      </c>
      <c r="P106" s="550">
        <f t="shared" si="86"/>
        <v>5.600242501671687</v>
      </c>
      <c r="Q106" s="550">
        <f t="shared" ref="Q106:R106" si="87">Q78+Q93</f>
        <v>0</v>
      </c>
      <c r="R106" s="550">
        <f t="shared" si="87"/>
        <v>5.1219538992502578</v>
      </c>
      <c r="S106" s="550">
        <f t="shared" si="86"/>
        <v>0</v>
      </c>
      <c r="T106" s="550">
        <f t="shared" si="86"/>
        <v>4.668185732515056</v>
      </c>
      <c r="U106" s="550">
        <f t="shared" ref="U106" si="88">U78+U93</f>
        <v>0</v>
      </c>
      <c r="V106" s="550">
        <f>V78+V93</f>
        <v>28.118360466877036</v>
      </c>
      <c r="W106" s="550">
        <f t="shared" si="86"/>
        <v>0</v>
      </c>
    </row>
    <row r="107" spans="1:23" s="539" customFormat="1" ht="16.5" customHeight="1" x14ac:dyDescent="0.25">
      <c r="A107" s="726" t="s">
        <v>24</v>
      </c>
      <c r="B107" s="727"/>
      <c r="C107" s="728" t="s">
        <v>929</v>
      </c>
      <c r="D107" s="729"/>
      <c r="E107" s="729"/>
      <c r="F107" s="729"/>
      <c r="G107" s="730"/>
      <c r="H107" s="540" t="s">
        <v>807</v>
      </c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0"/>
    </row>
    <row r="108" spans="1:23" s="539" customFormat="1" ht="16.5" customHeight="1" x14ac:dyDescent="0.25">
      <c r="A108" s="726" t="s">
        <v>590</v>
      </c>
      <c r="B108" s="727"/>
      <c r="C108" s="731" t="s">
        <v>809</v>
      </c>
      <c r="D108" s="732"/>
      <c r="E108" s="732"/>
      <c r="F108" s="732"/>
      <c r="G108" s="733"/>
      <c r="H108" s="540" t="s">
        <v>807</v>
      </c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0"/>
    </row>
    <row r="109" spans="1:23" s="539" customFormat="1" ht="16.5" customHeight="1" x14ac:dyDescent="0.25">
      <c r="A109" s="726" t="s">
        <v>591</v>
      </c>
      <c r="B109" s="727"/>
      <c r="C109" s="731" t="s">
        <v>810</v>
      </c>
      <c r="D109" s="732"/>
      <c r="E109" s="732"/>
      <c r="F109" s="732"/>
      <c r="G109" s="733"/>
      <c r="H109" s="540" t="s">
        <v>807</v>
      </c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0"/>
    </row>
    <row r="110" spans="1:23" s="539" customFormat="1" ht="16.5" customHeight="1" x14ac:dyDescent="0.25">
      <c r="A110" s="726" t="s">
        <v>592</v>
      </c>
      <c r="B110" s="727"/>
      <c r="C110" s="731" t="s">
        <v>811</v>
      </c>
      <c r="D110" s="732"/>
      <c r="E110" s="732"/>
      <c r="F110" s="732"/>
      <c r="G110" s="733"/>
      <c r="H110" s="540" t="s">
        <v>807</v>
      </c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0"/>
    </row>
    <row r="111" spans="1:23" s="539" customFormat="1" ht="8.1" customHeight="1" x14ac:dyDescent="0.25">
      <c r="A111" s="726" t="s">
        <v>25</v>
      </c>
      <c r="B111" s="727"/>
      <c r="C111" s="728" t="s">
        <v>812</v>
      </c>
      <c r="D111" s="729"/>
      <c r="E111" s="729"/>
      <c r="F111" s="729"/>
      <c r="G111" s="730"/>
      <c r="H111" s="540" t="s">
        <v>807</v>
      </c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0"/>
    </row>
    <row r="112" spans="1:23" s="539" customFormat="1" ht="8.1" customHeight="1" x14ac:dyDescent="0.25">
      <c r="A112" s="745" t="s">
        <v>26</v>
      </c>
      <c r="B112" s="746"/>
      <c r="C112" s="747" t="s">
        <v>813</v>
      </c>
      <c r="D112" s="748"/>
      <c r="E112" s="748"/>
      <c r="F112" s="748"/>
      <c r="G112" s="749"/>
      <c r="H112" s="543" t="s">
        <v>807</v>
      </c>
      <c r="I112" s="544">
        <f>I84+0.016-0.271</f>
        <v>5.6309999999999958</v>
      </c>
      <c r="J112" s="544">
        <f>J84-4.367</f>
        <v>7.2310000000000132</v>
      </c>
      <c r="K112" s="545">
        <f>K84+K99</f>
        <v>9.6622400000000113</v>
      </c>
      <c r="L112" s="545">
        <f>L84+L99</f>
        <v>10.126027520000022</v>
      </c>
      <c r="M112" s="544"/>
      <c r="N112" s="545">
        <f>N84+N99</f>
        <v>10.601950813440013</v>
      </c>
      <c r="O112" s="544"/>
      <c r="P112" s="545">
        <f>P84+P99</f>
        <v>11.100242501671687</v>
      </c>
      <c r="Q112" s="545"/>
      <c r="R112" s="545">
        <f>R84+R99</f>
        <v>11.621953899250258</v>
      </c>
      <c r="S112" s="545"/>
      <c r="T112" s="545">
        <f>T84+T99</f>
        <v>12.168185732515056</v>
      </c>
      <c r="U112" s="545"/>
      <c r="V112" s="545">
        <f t="shared" ref="V112" si="89">L112+N112+P112+R112+T112</f>
        <v>55.618360466877036</v>
      </c>
      <c r="W112" s="545">
        <f t="shared" ref="W112" si="90">W84</f>
        <v>0</v>
      </c>
    </row>
    <row r="113" spans="1:23" s="539" customFormat="1" ht="8.1" customHeight="1" x14ac:dyDescent="0.25">
      <c r="A113" s="726" t="s">
        <v>27</v>
      </c>
      <c r="B113" s="727"/>
      <c r="C113" s="728" t="s">
        <v>815</v>
      </c>
      <c r="D113" s="729"/>
      <c r="E113" s="729"/>
      <c r="F113" s="729"/>
      <c r="G113" s="730"/>
      <c r="H113" s="540" t="s">
        <v>807</v>
      </c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0"/>
    </row>
    <row r="114" spans="1:23" s="539" customFormat="1" ht="8.1" customHeight="1" x14ac:dyDescent="0.25">
      <c r="A114" s="745" t="s">
        <v>201</v>
      </c>
      <c r="B114" s="746"/>
      <c r="C114" s="747" t="s">
        <v>817</v>
      </c>
      <c r="D114" s="748"/>
      <c r="E114" s="748"/>
      <c r="F114" s="748"/>
      <c r="G114" s="749"/>
      <c r="H114" s="543" t="s">
        <v>807</v>
      </c>
      <c r="I114" s="545">
        <f>I28-I43-0.732</f>
        <v>8.7680000000000007</v>
      </c>
      <c r="J114" s="545">
        <f>J28-J43</f>
        <v>18.259666666666668</v>
      </c>
      <c r="K114" s="545">
        <f t="shared" ref="K114:L114" si="91">K28-K43</f>
        <v>0</v>
      </c>
      <c r="L114" s="545">
        <f t="shared" si="91"/>
        <v>-3.5</v>
      </c>
      <c r="M114" s="545"/>
      <c r="N114" s="545">
        <f t="shared" ref="N114" si="92">N28-N43</f>
        <v>-4.5</v>
      </c>
      <c r="O114" s="545"/>
      <c r="P114" s="545">
        <f t="shared" ref="P114" si="93">P28-P43</f>
        <v>-5.5</v>
      </c>
      <c r="Q114" s="545"/>
      <c r="R114" s="545">
        <f t="shared" ref="R114" si="94">R28-R43</f>
        <v>-6.5</v>
      </c>
      <c r="S114" s="545"/>
      <c r="T114" s="545">
        <f t="shared" ref="T114" si="95">T28-T43</f>
        <v>-7.5</v>
      </c>
      <c r="U114" s="545"/>
      <c r="V114" s="545">
        <f t="shared" ref="V114" si="96">L114+N114+P114+R114+T114</f>
        <v>-27.5</v>
      </c>
      <c r="W114" s="545">
        <f t="shared" ref="W114" si="97">W28-W43</f>
        <v>0</v>
      </c>
    </row>
    <row r="115" spans="1:23" s="539" customFormat="1" ht="8.1" customHeight="1" x14ac:dyDescent="0.25">
      <c r="A115" s="726" t="s">
        <v>202</v>
      </c>
      <c r="B115" s="727"/>
      <c r="C115" s="728" t="s">
        <v>818</v>
      </c>
      <c r="D115" s="729"/>
      <c r="E115" s="729"/>
      <c r="F115" s="729"/>
      <c r="G115" s="730"/>
      <c r="H115" s="540" t="s">
        <v>807</v>
      </c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0"/>
    </row>
    <row r="116" spans="1:23" s="539" customFormat="1" ht="8.1" customHeight="1" x14ac:dyDescent="0.25">
      <c r="A116" s="726" t="s">
        <v>203</v>
      </c>
      <c r="B116" s="727"/>
      <c r="C116" s="728" t="s">
        <v>820</v>
      </c>
      <c r="D116" s="729"/>
      <c r="E116" s="729"/>
      <c r="F116" s="729"/>
      <c r="G116" s="730"/>
      <c r="H116" s="540" t="s">
        <v>807</v>
      </c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0"/>
    </row>
    <row r="117" spans="1:23" s="539" customFormat="1" ht="16.5" customHeight="1" x14ac:dyDescent="0.25">
      <c r="A117" s="726" t="s">
        <v>666</v>
      </c>
      <c r="B117" s="727"/>
      <c r="C117" s="728" t="s">
        <v>822</v>
      </c>
      <c r="D117" s="729"/>
      <c r="E117" s="729"/>
      <c r="F117" s="729"/>
      <c r="G117" s="730"/>
      <c r="H117" s="540" t="s">
        <v>807</v>
      </c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0"/>
    </row>
    <row r="118" spans="1:23" s="539" customFormat="1" ht="8.1" customHeight="1" x14ac:dyDescent="0.25">
      <c r="A118" s="726" t="s">
        <v>387</v>
      </c>
      <c r="B118" s="727"/>
      <c r="C118" s="731" t="s">
        <v>824</v>
      </c>
      <c r="D118" s="732"/>
      <c r="E118" s="732"/>
      <c r="F118" s="732"/>
      <c r="G118" s="733"/>
      <c r="H118" s="540" t="s">
        <v>807</v>
      </c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0"/>
    </row>
    <row r="119" spans="1:23" s="539" customFormat="1" ht="8.1" customHeight="1" x14ac:dyDescent="0.25">
      <c r="A119" s="726" t="s">
        <v>388</v>
      </c>
      <c r="B119" s="727"/>
      <c r="C119" s="731" t="s">
        <v>826</v>
      </c>
      <c r="D119" s="732"/>
      <c r="E119" s="732"/>
      <c r="F119" s="732"/>
      <c r="G119" s="733"/>
      <c r="H119" s="540" t="s">
        <v>807</v>
      </c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0"/>
    </row>
    <row r="120" spans="1:23" s="539" customFormat="1" ht="8.1" customHeight="1" x14ac:dyDescent="0.25">
      <c r="A120" s="745" t="s">
        <v>667</v>
      </c>
      <c r="B120" s="746"/>
      <c r="C120" s="747" t="s">
        <v>828</v>
      </c>
      <c r="D120" s="748"/>
      <c r="E120" s="748"/>
      <c r="F120" s="748"/>
      <c r="G120" s="749"/>
      <c r="H120" s="543" t="s">
        <v>807</v>
      </c>
      <c r="I120" s="544">
        <f>I34-I49+0.002-0.027</f>
        <v>12.064000000000002</v>
      </c>
      <c r="J120" s="544">
        <f>J92</f>
        <v>7.8000000000000007</v>
      </c>
      <c r="K120" s="544">
        <f t="shared" ref="K120:L120" si="98">K34-K49</f>
        <v>0</v>
      </c>
      <c r="L120" s="544">
        <f t="shared" si="98"/>
        <v>0</v>
      </c>
      <c r="M120" s="544"/>
      <c r="N120" s="544">
        <f t="shared" ref="N120" si="99">N34-N49</f>
        <v>0</v>
      </c>
      <c r="O120" s="544"/>
      <c r="P120" s="544">
        <f t="shared" ref="P120" si="100">P34-P49</f>
        <v>0</v>
      </c>
      <c r="Q120" s="544"/>
      <c r="R120" s="544">
        <f t="shared" ref="R120" si="101">R34-R49</f>
        <v>0</v>
      </c>
      <c r="S120" s="544"/>
      <c r="T120" s="544">
        <f t="shared" ref="T120" si="102">T34-T49</f>
        <v>0</v>
      </c>
      <c r="U120" s="544"/>
      <c r="V120" s="545">
        <f t="shared" ref="V120" si="103">L120+N120+P120+R120+T120</f>
        <v>0</v>
      </c>
      <c r="W120" s="544">
        <f t="shared" ref="W120" si="104">W34-W49</f>
        <v>0</v>
      </c>
    </row>
    <row r="121" spans="1:23" s="539" customFormat="1" x14ac:dyDescent="0.25">
      <c r="A121" s="750" t="s">
        <v>930</v>
      </c>
      <c r="B121" s="751"/>
      <c r="C121" s="752" t="s">
        <v>931</v>
      </c>
      <c r="D121" s="753"/>
      <c r="E121" s="753"/>
      <c r="F121" s="753"/>
      <c r="G121" s="754"/>
      <c r="H121" s="548" t="s">
        <v>807</v>
      </c>
      <c r="I121" s="549">
        <v>4.3460000000000001</v>
      </c>
      <c r="J121" s="550">
        <f>J106*0.2</f>
        <v>6.5781333333333372</v>
      </c>
      <c r="K121" s="550">
        <f>K106*0.2</f>
        <v>1.9324480000000024</v>
      </c>
      <c r="L121" s="550">
        <f>L106*0.2</f>
        <v>1.3252055040000046</v>
      </c>
      <c r="M121" s="549">
        <v>0</v>
      </c>
      <c r="N121" s="550">
        <f t="shared" ref="N121:U121" si="105">N106*0.2</f>
        <v>1.2203901626880027</v>
      </c>
      <c r="O121" s="550">
        <f t="shared" si="105"/>
        <v>0</v>
      </c>
      <c r="P121" s="550">
        <f t="shared" si="105"/>
        <v>1.1200485003343374</v>
      </c>
      <c r="Q121" s="550">
        <f t="shared" si="105"/>
        <v>0</v>
      </c>
      <c r="R121" s="550">
        <f t="shared" si="105"/>
        <v>1.0243907798500516</v>
      </c>
      <c r="S121" s="550">
        <f t="shared" si="105"/>
        <v>0</v>
      </c>
      <c r="T121" s="550">
        <f t="shared" si="105"/>
        <v>0.93363714650301122</v>
      </c>
      <c r="U121" s="550">
        <f t="shared" si="105"/>
        <v>0</v>
      </c>
      <c r="V121" s="550">
        <f>L121+N121+P121+R121+T121</f>
        <v>5.6236720933754079</v>
      </c>
      <c r="W121" s="550"/>
    </row>
    <row r="122" spans="1:23" s="539" customFormat="1" ht="8.1" customHeight="1" x14ac:dyDescent="0.25">
      <c r="A122" s="726" t="s">
        <v>29</v>
      </c>
      <c r="B122" s="727"/>
      <c r="C122" s="728" t="s">
        <v>808</v>
      </c>
      <c r="D122" s="729"/>
      <c r="E122" s="729"/>
      <c r="F122" s="729"/>
      <c r="G122" s="730"/>
      <c r="H122" s="540" t="s">
        <v>807</v>
      </c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0"/>
    </row>
    <row r="123" spans="1:23" s="539" customFormat="1" ht="16.5" customHeight="1" x14ac:dyDescent="0.25">
      <c r="A123" s="726" t="s">
        <v>242</v>
      </c>
      <c r="B123" s="727"/>
      <c r="C123" s="731" t="s">
        <v>809</v>
      </c>
      <c r="D123" s="732"/>
      <c r="E123" s="732"/>
      <c r="F123" s="732"/>
      <c r="G123" s="733"/>
      <c r="H123" s="540" t="s">
        <v>807</v>
      </c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0"/>
    </row>
    <row r="124" spans="1:23" s="539" customFormat="1" ht="16.5" customHeight="1" x14ac:dyDescent="0.25">
      <c r="A124" s="726" t="s">
        <v>243</v>
      </c>
      <c r="B124" s="727"/>
      <c r="C124" s="731" t="s">
        <v>810</v>
      </c>
      <c r="D124" s="732"/>
      <c r="E124" s="732"/>
      <c r="F124" s="732"/>
      <c r="G124" s="733"/>
      <c r="H124" s="540" t="s">
        <v>807</v>
      </c>
      <c r="I124" s="542"/>
      <c r="J124" s="542"/>
      <c r="K124" s="542"/>
      <c r="L124" s="542"/>
      <c r="M124" s="542"/>
      <c r="N124" s="542"/>
      <c r="O124" s="542"/>
      <c r="P124" s="542"/>
      <c r="Q124" s="542"/>
      <c r="R124" s="542"/>
      <c r="S124" s="542"/>
      <c r="T124" s="542"/>
      <c r="U124" s="542"/>
      <c r="V124" s="542"/>
      <c r="W124" s="540"/>
    </row>
    <row r="125" spans="1:23" s="539" customFormat="1" ht="16.5" customHeight="1" x14ac:dyDescent="0.25">
      <c r="A125" s="726" t="s">
        <v>244</v>
      </c>
      <c r="B125" s="727"/>
      <c r="C125" s="731" t="s">
        <v>811</v>
      </c>
      <c r="D125" s="732"/>
      <c r="E125" s="732"/>
      <c r="F125" s="732"/>
      <c r="G125" s="733"/>
      <c r="H125" s="540" t="s">
        <v>807</v>
      </c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0"/>
    </row>
    <row r="126" spans="1:23" s="539" customFormat="1" ht="8.1" customHeight="1" x14ac:dyDescent="0.25">
      <c r="A126" s="726" t="s">
        <v>30</v>
      </c>
      <c r="B126" s="727"/>
      <c r="C126" s="728" t="s">
        <v>932</v>
      </c>
      <c r="D126" s="729"/>
      <c r="E126" s="729"/>
      <c r="F126" s="729"/>
      <c r="G126" s="730"/>
      <c r="H126" s="540" t="s">
        <v>807</v>
      </c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0"/>
    </row>
    <row r="127" spans="1:23" s="539" customFormat="1" ht="8.1" customHeight="1" x14ac:dyDescent="0.25">
      <c r="A127" s="745" t="s">
        <v>31</v>
      </c>
      <c r="B127" s="746"/>
      <c r="C127" s="747" t="s">
        <v>933</v>
      </c>
      <c r="D127" s="748"/>
      <c r="E127" s="748"/>
      <c r="F127" s="748"/>
      <c r="G127" s="749"/>
      <c r="H127" s="543" t="s">
        <v>807</v>
      </c>
      <c r="I127" s="544"/>
      <c r="J127" s="545">
        <f>J112*0.2</f>
        <v>1.4462000000000028</v>
      </c>
      <c r="K127" s="545">
        <f>K112*0.2</f>
        <v>1.9324480000000024</v>
      </c>
      <c r="L127" s="545">
        <f>L112*0.2</f>
        <v>2.0252055040000045</v>
      </c>
      <c r="M127" s="544"/>
      <c r="N127" s="545">
        <f>N112*0.2</f>
        <v>2.1203901626880026</v>
      </c>
      <c r="O127" s="545"/>
      <c r="P127" s="545">
        <f>P112*0.2</f>
        <v>2.2200485003343373</v>
      </c>
      <c r="Q127" s="545"/>
      <c r="R127" s="545">
        <f>R112*0.2</f>
        <v>2.3243907798500518</v>
      </c>
      <c r="S127" s="545"/>
      <c r="T127" s="545">
        <f>T112*0.2</f>
        <v>2.4336371465030116</v>
      </c>
      <c r="U127" s="545"/>
      <c r="V127" s="545">
        <f t="shared" ref="V127" si="106">L127+N127+P127+R127+T127</f>
        <v>11.123672093375408</v>
      </c>
      <c r="W127" s="545">
        <f>M127+O127+S127</f>
        <v>0</v>
      </c>
    </row>
    <row r="128" spans="1:23" s="539" customFormat="1" ht="8.1" customHeight="1" x14ac:dyDescent="0.25">
      <c r="A128" s="726" t="s">
        <v>32</v>
      </c>
      <c r="B128" s="727"/>
      <c r="C128" s="728" t="s">
        <v>934</v>
      </c>
      <c r="D128" s="729"/>
      <c r="E128" s="729"/>
      <c r="F128" s="729"/>
      <c r="G128" s="730"/>
      <c r="H128" s="540" t="s">
        <v>807</v>
      </c>
      <c r="I128" s="542"/>
      <c r="J128" s="558"/>
      <c r="K128" s="542"/>
      <c r="L128" s="542"/>
      <c r="M128" s="542"/>
      <c r="N128" s="542"/>
      <c r="O128" s="558"/>
      <c r="P128" s="542"/>
      <c r="Q128" s="542"/>
      <c r="R128" s="542"/>
      <c r="S128" s="542"/>
      <c r="T128" s="542"/>
      <c r="U128" s="542"/>
      <c r="V128" s="542"/>
      <c r="W128" s="540"/>
    </row>
    <row r="129" spans="1:23" s="539" customFormat="1" ht="8.1" customHeight="1" x14ac:dyDescent="0.25">
      <c r="A129" s="745" t="s">
        <v>935</v>
      </c>
      <c r="B129" s="746"/>
      <c r="C129" s="747" t="s">
        <v>936</v>
      </c>
      <c r="D129" s="748"/>
      <c r="E129" s="748"/>
      <c r="F129" s="748"/>
      <c r="G129" s="749"/>
      <c r="H129" s="543" t="s">
        <v>807</v>
      </c>
      <c r="I129" s="544"/>
      <c r="J129" s="545">
        <f>J114*0.2</f>
        <v>3.6519333333333339</v>
      </c>
      <c r="K129" s="544"/>
      <c r="L129" s="544"/>
      <c r="M129" s="544"/>
      <c r="N129" s="544"/>
      <c r="O129" s="545"/>
      <c r="P129" s="544"/>
      <c r="Q129" s="544"/>
      <c r="R129" s="544"/>
      <c r="S129" s="544"/>
      <c r="T129" s="544"/>
      <c r="U129" s="544"/>
      <c r="V129" s="545">
        <f t="shared" ref="V129" si="107">L129+N129+P129+R129+T129</f>
        <v>0</v>
      </c>
      <c r="W129" s="545">
        <f>M129+O129+S129</f>
        <v>0</v>
      </c>
    </row>
    <row r="130" spans="1:23" s="539" customFormat="1" ht="8.1" customHeight="1" x14ac:dyDescent="0.25">
      <c r="A130" s="726" t="s">
        <v>937</v>
      </c>
      <c r="B130" s="727"/>
      <c r="C130" s="728" t="s">
        <v>938</v>
      </c>
      <c r="D130" s="729"/>
      <c r="E130" s="729"/>
      <c r="F130" s="729"/>
      <c r="G130" s="730"/>
      <c r="H130" s="540" t="s">
        <v>807</v>
      </c>
      <c r="I130" s="542"/>
      <c r="J130" s="558"/>
      <c r="K130" s="542"/>
      <c r="L130" s="542"/>
      <c r="M130" s="542"/>
      <c r="N130" s="542"/>
      <c r="O130" s="558"/>
      <c r="P130" s="542"/>
      <c r="Q130" s="542"/>
      <c r="R130" s="542"/>
      <c r="S130" s="542"/>
      <c r="T130" s="542"/>
      <c r="U130" s="542"/>
      <c r="V130" s="542"/>
      <c r="W130" s="540"/>
    </row>
    <row r="131" spans="1:23" s="539" customFormat="1" ht="8.1" customHeight="1" x14ac:dyDescent="0.25">
      <c r="A131" s="726" t="s">
        <v>939</v>
      </c>
      <c r="B131" s="727"/>
      <c r="C131" s="728" t="s">
        <v>940</v>
      </c>
      <c r="D131" s="729"/>
      <c r="E131" s="729"/>
      <c r="F131" s="729"/>
      <c r="G131" s="730"/>
      <c r="H131" s="540" t="s">
        <v>807</v>
      </c>
      <c r="I131" s="542"/>
      <c r="J131" s="558"/>
      <c r="K131" s="542"/>
      <c r="L131" s="542"/>
      <c r="M131" s="542"/>
      <c r="N131" s="542"/>
      <c r="O131" s="558"/>
      <c r="P131" s="542"/>
      <c r="Q131" s="542"/>
      <c r="R131" s="542"/>
      <c r="S131" s="542"/>
      <c r="T131" s="542"/>
      <c r="U131" s="542"/>
      <c r="V131" s="542"/>
      <c r="W131" s="540"/>
    </row>
    <row r="132" spans="1:23" s="539" customFormat="1" ht="17.100000000000001" customHeight="1" x14ac:dyDescent="0.25">
      <c r="A132" s="726" t="s">
        <v>941</v>
      </c>
      <c r="B132" s="727"/>
      <c r="C132" s="728" t="s">
        <v>822</v>
      </c>
      <c r="D132" s="729"/>
      <c r="E132" s="729"/>
      <c r="F132" s="729"/>
      <c r="G132" s="730"/>
      <c r="H132" s="540" t="s">
        <v>807</v>
      </c>
      <c r="I132" s="542"/>
      <c r="J132" s="558"/>
      <c r="K132" s="542"/>
      <c r="L132" s="542"/>
      <c r="M132" s="542"/>
      <c r="N132" s="542"/>
      <c r="O132" s="558"/>
      <c r="P132" s="542"/>
      <c r="Q132" s="542"/>
      <c r="R132" s="542"/>
      <c r="S132" s="542"/>
      <c r="T132" s="542"/>
      <c r="U132" s="542"/>
      <c r="V132" s="542"/>
      <c r="W132" s="540"/>
    </row>
    <row r="133" spans="1:23" s="539" customFormat="1" ht="8.1" customHeight="1" x14ac:dyDescent="0.25">
      <c r="A133" s="726" t="s">
        <v>942</v>
      </c>
      <c r="B133" s="727"/>
      <c r="C133" s="731" t="s">
        <v>824</v>
      </c>
      <c r="D133" s="732"/>
      <c r="E133" s="732"/>
      <c r="F133" s="732"/>
      <c r="G133" s="733"/>
      <c r="H133" s="540" t="s">
        <v>807</v>
      </c>
      <c r="I133" s="542"/>
      <c r="J133" s="558"/>
      <c r="K133" s="542"/>
      <c r="L133" s="542"/>
      <c r="M133" s="542"/>
      <c r="N133" s="542"/>
      <c r="O133" s="558"/>
      <c r="P133" s="542"/>
      <c r="Q133" s="542"/>
      <c r="R133" s="542"/>
      <c r="S133" s="542"/>
      <c r="T133" s="542"/>
      <c r="U133" s="542"/>
      <c r="V133" s="542"/>
      <c r="W133" s="540"/>
    </row>
    <row r="134" spans="1:23" s="539" customFormat="1" ht="8.1" customHeight="1" x14ac:dyDescent="0.25">
      <c r="A134" s="726" t="s">
        <v>943</v>
      </c>
      <c r="B134" s="727"/>
      <c r="C134" s="731" t="s">
        <v>826</v>
      </c>
      <c r="D134" s="732"/>
      <c r="E134" s="732"/>
      <c r="F134" s="732"/>
      <c r="G134" s="733"/>
      <c r="H134" s="540" t="s">
        <v>807</v>
      </c>
      <c r="I134" s="542"/>
      <c r="J134" s="558"/>
      <c r="K134" s="542"/>
      <c r="L134" s="542"/>
      <c r="M134" s="542"/>
      <c r="N134" s="542"/>
      <c r="O134" s="558"/>
      <c r="P134" s="542"/>
      <c r="Q134" s="542"/>
      <c r="R134" s="542"/>
      <c r="S134" s="542"/>
      <c r="T134" s="542"/>
      <c r="U134" s="542"/>
      <c r="V134" s="542"/>
      <c r="W134" s="540"/>
    </row>
    <row r="135" spans="1:23" s="539" customFormat="1" ht="8.1" customHeight="1" x14ac:dyDescent="0.25">
      <c r="A135" s="745" t="s">
        <v>944</v>
      </c>
      <c r="B135" s="746"/>
      <c r="C135" s="747" t="s">
        <v>945</v>
      </c>
      <c r="D135" s="748"/>
      <c r="E135" s="748"/>
      <c r="F135" s="748"/>
      <c r="G135" s="749"/>
      <c r="H135" s="543" t="s">
        <v>807</v>
      </c>
      <c r="I135" s="544"/>
      <c r="J135" s="544">
        <f>J120*0.2</f>
        <v>1.5600000000000003</v>
      </c>
      <c r="K135" s="544"/>
      <c r="L135" s="544"/>
      <c r="M135" s="544"/>
      <c r="N135" s="544"/>
      <c r="O135" s="544">
        <f>O120*0.2</f>
        <v>0</v>
      </c>
      <c r="P135" s="544"/>
      <c r="Q135" s="544"/>
      <c r="R135" s="544"/>
      <c r="S135" s="544"/>
      <c r="T135" s="544"/>
      <c r="U135" s="544"/>
      <c r="V135" s="545">
        <f t="shared" ref="V135" si="108">L135+N135+P135+R135+T135</f>
        <v>0</v>
      </c>
      <c r="W135" s="545">
        <f>M135+O135+S135</f>
        <v>0</v>
      </c>
    </row>
    <row r="136" spans="1:23" s="539" customFormat="1" ht="9.75" x14ac:dyDescent="0.25">
      <c r="A136" s="750" t="s">
        <v>946</v>
      </c>
      <c r="B136" s="751"/>
      <c r="C136" s="752" t="s">
        <v>947</v>
      </c>
      <c r="D136" s="753"/>
      <c r="E136" s="753"/>
      <c r="F136" s="753"/>
      <c r="G136" s="754"/>
      <c r="H136" s="548" t="s">
        <v>807</v>
      </c>
      <c r="I136" s="556">
        <f>I106-I121</f>
        <v>22.116999999999994</v>
      </c>
      <c r="J136" s="557">
        <f>J106-J121</f>
        <v>26.312533333333345</v>
      </c>
      <c r="K136" s="557">
        <f t="shared" ref="K136" si="109">K142+K144+K150</f>
        <v>7.7297920000000087</v>
      </c>
      <c r="L136" s="557">
        <f>L142+L144+L150</f>
        <v>4.6008220160000182</v>
      </c>
      <c r="M136" s="556">
        <f>M106-M121</f>
        <v>0</v>
      </c>
      <c r="N136" s="557">
        <f t="shared" ref="N136" si="110">N142+N144+N150</f>
        <v>3.9815606507520105</v>
      </c>
      <c r="O136" s="557">
        <f>O106-O121</f>
        <v>0</v>
      </c>
      <c r="P136" s="557">
        <f t="shared" ref="P136" si="111">P142+P144+P150</f>
        <v>3.3801940013373493</v>
      </c>
      <c r="Q136" s="557">
        <f t="shared" ref="Q136:R136" si="112">Q142+Q144+Q150</f>
        <v>0</v>
      </c>
      <c r="R136" s="557">
        <f t="shared" si="112"/>
        <v>2.7975631194002055</v>
      </c>
      <c r="S136" s="557">
        <f t="shared" ref="S136:T136" si="113">S142+S144+S150</f>
        <v>0</v>
      </c>
      <c r="T136" s="557">
        <f t="shared" si="113"/>
        <v>2.2345485860120444</v>
      </c>
      <c r="U136" s="557">
        <f t="shared" ref="U136" si="114">U142+U144+U150</f>
        <v>0</v>
      </c>
      <c r="V136" s="550">
        <f>L136+N136+R136</f>
        <v>11.379945786152234</v>
      </c>
      <c r="W136" s="550">
        <f>M136+O136+S136</f>
        <v>0</v>
      </c>
    </row>
    <row r="137" spans="1:23" s="539" customFormat="1" ht="8.1" customHeight="1" x14ac:dyDescent="0.25">
      <c r="A137" s="726" t="s">
        <v>948</v>
      </c>
      <c r="B137" s="727"/>
      <c r="C137" s="728" t="s">
        <v>808</v>
      </c>
      <c r="D137" s="729"/>
      <c r="E137" s="729"/>
      <c r="F137" s="729"/>
      <c r="G137" s="730"/>
      <c r="H137" s="540" t="s">
        <v>807</v>
      </c>
      <c r="I137" s="542"/>
      <c r="J137" s="542"/>
      <c r="K137" s="542"/>
      <c r="L137" s="542"/>
      <c r="M137" s="542"/>
      <c r="N137" s="542"/>
      <c r="O137" s="542"/>
      <c r="P137" s="542"/>
      <c r="Q137" s="542"/>
      <c r="R137" s="542"/>
      <c r="S137" s="542"/>
      <c r="T137" s="542"/>
      <c r="U137" s="542"/>
      <c r="V137" s="542"/>
      <c r="W137" s="540"/>
    </row>
    <row r="138" spans="1:23" s="539" customFormat="1" ht="16.5" customHeight="1" x14ac:dyDescent="0.25">
      <c r="A138" s="726" t="s">
        <v>640</v>
      </c>
      <c r="B138" s="727"/>
      <c r="C138" s="731" t="s">
        <v>809</v>
      </c>
      <c r="D138" s="732"/>
      <c r="E138" s="732"/>
      <c r="F138" s="732"/>
      <c r="G138" s="733"/>
      <c r="H138" s="540" t="s">
        <v>807</v>
      </c>
      <c r="I138" s="542"/>
      <c r="J138" s="542"/>
      <c r="K138" s="542"/>
      <c r="L138" s="542"/>
      <c r="M138" s="542"/>
      <c r="N138" s="542"/>
      <c r="O138" s="542"/>
      <c r="P138" s="542"/>
      <c r="Q138" s="542"/>
      <c r="R138" s="542"/>
      <c r="S138" s="542"/>
      <c r="T138" s="542"/>
      <c r="U138" s="542"/>
      <c r="V138" s="542"/>
      <c r="W138" s="540"/>
    </row>
    <row r="139" spans="1:23" s="539" customFormat="1" ht="16.5" customHeight="1" x14ac:dyDescent="0.25">
      <c r="A139" s="726" t="s">
        <v>641</v>
      </c>
      <c r="B139" s="727"/>
      <c r="C139" s="731" t="s">
        <v>810</v>
      </c>
      <c r="D139" s="732"/>
      <c r="E139" s="732"/>
      <c r="F139" s="732"/>
      <c r="G139" s="733"/>
      <c r="H139" s="540" t="s">
        <v>807</v>
      </c>
      <c r="I139" s="542"/>
      <c r="J139" s="542"/>
      <c r="K139" s="542"/>
      <c r="L139" s="542"/>
      <c r="M139" s="542"/>
      <c r="N139" s="542"/>
      <c r="O139" s="542"/>
      <c r="P139" s="542"/>
      <c r="Q139" s="542"/>
      <c r="R139" s="542"/>
      <c r="S139" s="542"/>
      <c r="T139" s="542"/>
      <c r="U139" s="542"/>
      <c r="V139" s="542"/>
      <c r="W139" s="540"/>
    </row>
    <row r="140" spans="1:23" s="539" customFormat="1" ht="16.5" customHeight="1" x14ac:dyDescent="0.25">
      <c r="A140" s="726" t="s">
        <v>642</v>
      </c>
      <c r="B140" s="727"/>
      <c r="C140" s="731" t="s">
        <v>811</v>
      </c>
      <c r="D140" s="732"/>
      <c r="E140" s="732"/>
      <c r="F140" s="732"/>
      <c r="G140" s="733"/>
      <c r="H140" s="540" t="s">
        <v>807</v>
      </c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0"/>
    </row>
    <row r="141" spans="1:23" s="539" customFormat="1" ht="8.1" customHeight="1" x14ac:dyDescent="0.25">
      <c r="A141" s="726" t="s">
        <v>949</v>
      </c>
      <c r="B141" s="727"/>
      <c r="C141" s="728" t="s">
        <v>812</v>
      </c>
      <c r="D141" s="729"/>
      <c r="E141" s="729"/>
      <c r="F141" s="729"/>
      <c r="G141" s="730"/>
      <c r="H141" s="540" t="s">
        <v>807</v>
      </c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0"/>
    </row>
    <row r="142" spans="1:23" s="539" customFormat="1" ht="8.1" customHeight="1" x14ac:dyDescent="0.25">
      <c r="A142" s="745" t="s">
        <v>950</v>
      </c>
      <c r="B142" s="746"/>
      <c r="C142" s="747" t="s">
        <v>813</v>
      </c>
      <c r="D142" s="748"/>
      <c r="E142" s="748"/>
      <c r="F142" s="748"/>
      <c r="G142" s="749"/>
      <c r="H142" s="543" t="s">
        <v>807</v>
      </c>
      <c r="I142" s="544"/>
      <c r="J142" s="545">
        <f>J112-J127</f>
        <v>5.7848000000000104</v>
      </c>
      <c r="K142" s="545">
        <f t="shared" ref="K142:L142" si="115">K112-K127</f>
        <v>7.7297920000000087</v>
      </c>
      <c r="L142" s="545">
        <f t="shared" si="115"/>
        <v>8.1008220160000182</v>
      </c>
      <c r="M142" s="544"/>
      <c r="N142" s="545">
        <f>N112-N127</f>
        <v>8.4815606507520105</v>
      </c>
      <c r="O142" s="545"/>
      <c r="P142" s="545">
        <f t="shared" ref="P142" si="116">P112-P127</f>
        <v>8.8801940013373493</v>
      </c>
      <c r="Q142" s="545"/>
      <c r="R142" s="545">
        <f t="shared" ref="R142" si="117">R112-R127</f>
        <v>9.2975631194002055</v>
      </c>
      <c r="S142" s="545"/>
      <c r="T142" s="545">
        <f>T112-T127</f>
        <v>9.7345485860120444</v>
      </c>
      <c r="U142" s="545"/>
      <c r="V142" s="545">
        <f t="shared" ref="V142" si="118">L142+N142+P142+R142+T142</f>
        <v>44.494688373501624</v>
      </c>
      <c r="W142" s="545"/>
    </row>
    <row r="143" spans="1:23" s="539" customFormat="1" ht="8.1" customHeight="1" x14ac:dyDescent="0.25">
      <c r="A143" s="726" t="s">
        <v>951</v>
      </c>
      <c r="B143" s="727"/>
      <c r="C143" s="728" t="s">
        <v>815</v>
      </c>
      <c r="D143" s="729"/>
      <c r="E143" s="729"/>
      <c r="F143" s="729"/>
      <c r="G143" s="730"/>
      <c r="H143" s="540" t="s">
        <v>807</v>
      </c>
      <c r="I143" s="542"/>
      <c r="J143" s="542"/>
      <c r="K143" s="542"/>
      <c r="L143" s="542"/>
      <c r="M143" s="542"/>
      <c r="N143" s="542"/>
      <c r="O143" s="542"/>
      <c r="P143" s="542"/>
      <c r="Q143" s="542"/>
      <c r="R143" s="542"/>
      <c r="S143" s="542"/>
      <c r="T143" s="542"/>
      <c r="U143" s="542"/>
      <c r="V143" s="542"/>
      <c r="W143" s="540"/>
    </row>
    <row r="144" spans="1:23" s="539" customFormat="1" ht="8.1" customHeight="1" x14ac:dyDescent="0.25">
      <c r="A144" s="745" t="s">
        <v>952</v>
      </c>
      <c r="B144" s="746"/>
      <c r="C144" s="747" t="s">
        <v>817</v>
      </c>
      <c r="D144" s="748"/>
      <c r="E144" s="748"/>
      <c r="F144" s="748"/>
      <c r="G144" s="749"/>
      <c r="H144" s="543" t="s">
        <v>807</v>
      </c>
      <c r="I144" s="544"/>
      <c r="J144" s="545">
        <f>J114-J129</f>
        <v>14.607733333333334</v>
      </c>
      <c r="K144" s="544">
        <f t="shared" ref="K144:L144" si="119">K114-K129</f>
        <v>0</v>
      </c>
      <c r="L144" s="544">
        <f t="shared" si="119"/>
        <v>-3.5</v>
      </c>
      <c r="M144" s="544"/>
      <c r="N144" s="544">
        <f t="shared" ref="N144" si="120">N114-N129</f>
        <v>-4.5</v>
      </c>
      <c r="O144" s="545"/>
      <c r="P144" s="544">
        <f t="shared" ref="P144" si="121">P114-P129</f>
        <v>-5.5</v>
      </c>
      <c r="Q144" s="544"/>
      <c r="R144" s="544">
        <f t="shared" ref="R144" si="122">R114-R129</f>
        <v>-6.5</v>
      </c>
      <c r="S144" s="544"/>
      <c r="T144" s="544">
        <f t="shared" ref="T144" si="123">T114-T129</f>
        <v>-7.5</v>
      </c>
      <c r="U144" s="544"/>
      <c r="V144" s="545">
        <f t="shared" ref="V144" si="124">L144+N144+P144+R144+T144</f>
        <v>-27.5</v>
      </c>
      <c r="W144" s="545"/>
    </row>
    <row r="145" spans="1:23" s="539" customFormat="1" ht="8.1" customHeight="1" x14ac:dyDescent="0.25">
      <c r="A145" s="726" t="s">
        <v>953</v>
      </c>
      <c r="B145" s="727"/>
      <c r="C145" s="728" t="s">
        <v>818</v>
      </c>
      <c r="D145" s="729"/>
      <c r="E145" s="729"/>
      <c r="F145" s="729"/>
      <c r="G145" s="730"/>
      <c r="H145" s="540" t="s">
        <v>807</v>
      </c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0"/>
    </row>
    <row r="146" spans="1:23" s="539" customFormat="1" ht="8.1" customHeight="1" x14ac:dyDescent="0.25">
      <c r="A146" s="726" t="s">
        <v>954</v>
      </c>
      <c r="B146" s="727"/>
      <c r="C146" s="728" t="s">
        <v>820</v>
      </c>
      <c r="D146" s="729"/>
      <c r="E146" s="729"/>
      <c r="F146" s="729"/>
      <c r="G146" s="730"/>
      <c r="H146" s="540" t="s">
        <v>807</v>
      </c>
      <c r="I146" s="542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0"/>
    </row>
    <row r="147" spans="1:23" s="539" customFormat="1" ht="16.5" customHeight="1" x14ac:dyDescent="0.25">
      <c r="A147" s="726" t="s">
        <v>955</v>
      </c>
      <c r="B147" s="727"/>
      <c r="C147" s="728" t="s">
        <v>822</v>
      </c>
      <c r="D147" s="729"/>
      <c r="E147" s="729"/>
      <c r="F147" s="729"/>
      <c r="G147" s="730"/>
      <c r="H147" s="540" t="s">
        <v>807</v>
      </c>
      <c r="I147" s="542"/>
      <c r="J147" s="542"/>
      <c r="K147" s="542"/>
      <c r="L147" s="542"/>
      <c r="M147" s="542"/>
      <c r="N147" s="542"/>
      <c r="O147" s="542"/>
      <c r="P147" s="542"/>
      <c r="Q147" s="542"/>
      <c r="R147" s="542"/>
      <c r="S147" s="542"/>
      <c r="T147" s="542"/>
      <c r="U147" s="542"/>
      <c r="V147" s="542"/>
      <c r="W147" s="540"/>
    </row>
    <row r="148" spans="1:23" s="539" customFormat="1" ht="8.1" customHeight="1" x14ac:dyDescent="0.25">
      <c r="A148" s="726" t="s">
        <v>291</v>
      </c>
      <c r="B148" s="727"/>
      <c r="C148" s="731" t="s">
        <v>824</v>
      </c>
      <c r="D148" s="732"/>
      <c r="E148" s="732"/>
      <c r="F148" s="732"/>
      <c r="G148" s="733"/>
      <c r="H148" s="540" t="s">
        <v>807</v>
      </c>
      <c r="I148" s="542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0"/>
    </row>
    <row r="149" spans="1:23" s="539" customFormat="1" ht="8.1" customHeight="1" x14ac:dyDescent="0.25">
      <c r="A149" s="726" t="s">
        <v>292</v>
      </c>
      <c r="B149" s="727"/>
      <c r="C149" s="731" t="s">
        <v>826</v>
      </c>
      <c r="D149" s="732"/>
      <c r="E149" s="732"/>
      <c r="F149" s="732"/>
      <c r="G149" s="733"/>
      <c r="H149" s="540" t="s">
        <v>807</v>
      </c>
      <c r="I149" s="542"/>
      <c r="J149" s="542"/>
      <c r="K149" s="542"/>
      <c r="L149" s="542"/>
      <c r="M149" s="542"/>
      <c r="N149" s="542"/>
      <c r="O149" s="542"/>
      <c r="P149" s="542"/>
      <c r="Q149" s="542"/>
      <c r="R149" s="542"/>
      <c r="S149" s="542"/>
      <c r="T149" s="542"/>
      <c r="U149" s="542"/>
      <c r="V149" s="542"/>
      <c r="W149" s="540"/>
    </row>
    <row r="150" spans="1:23" s="539" customFormat="1" ht="8.1" customHeight="1" x14ac:dyDescent="0.25">
      <c r="A150" s="745" t="s">
        <v>956</v>
      </c>
      <c r="B150" s="746"/>
      <c r="C150" s="747" t="s">
        <v>828</v>
      </c>
      <c r="D150" s="748"/>
      <c r="E150" s="748"/>
      <c r="F150" s="748"/>
      <c r="G150" s="749"/>
      <c r="H150" s="543" t="s">
        <v>807</v>
      </c>
      <c r="I150" s="544"/>
      <c r="J150" s="544">
        <f>J120-J135</f>
        <v>6.24</v>
      </c>
      <c r="K150" s="544">
        <f t="shared" ref="K150:L150" si="125">K120-K135</f>
        <v>0</v>
      </c>
      <c r="L150" s="544">
        <f t="shared" si="125"/>
        <v>0</v>
      </c>
      <c r="M150" s="544"/>
      <c r="N150" s="544">
        <f t="shared" ref="N150" si="126">N120-N135</f>
        <v>0</v>
      </c>
      <c r="O150" s="544">
        <f>O120-O135</f>
        <v>0</v>
      </c>
      <c r="P150" s="544">
        <f t="shared" ref="P150" si="127">P120-P135</f>
        <v>0</v>
      </c>
      <c r="Q150" s="544">
        <f t="shared" ref="Q150:R150" si="128">Q120-Q135</f>
        <v>0</v>
      </c>
      <c r="R150" s="544">
        <f t="shared" si="128"/>
        <v>0</v>
      </c>
      <c r="S150" s="544">
        <f t="shared" ref="S150:T150" si="129">S120-S135</f>
        <v>0</v>
      </c>
      <c r="T150" s="544">
        <f t="shared" si="129"/>
        <v>0</v>
      </c>
      <c r="U150" s="544">
        <f t="shared" ref="U150" si="130">U120-U135</f>
        <v>0</v>
      </c>
      <c r="V150" s="545">
        <f t="shared" ref="V150" si="131">L150+N150+P150+R150+T150</f>
        <v>0</v>
      </c>
      <c r="W150" s="545"/>
    </row>
    <row r="151" spans="1:23" s="539" customFormat="1" ht="8.1" customHeight="1" x14ac:dyDescent="0.25">
      <c r="A151" s="750" t="s">
        <v>957</v>
      </c>
      <c r="B151" s="751"/>
      <c r="C151" s="752" t="s">
        <v>958</v>
      </c>
      <c r="D151" s="753"/>
      <c r="E151" s="753"/>
      <c r="F151" s="753"/>
      <c r="G151" s="754"/>
      <c r="H151" s="548" t="s">
        <v>807</v>
      </c>
      <c r="I151" s="549">
        <f t="shared" ref="I151:K151" si="132">SUM(I152:I155)</f>
        <v>22.116999999999994</v>
      </c>
      <c r="J151" s="549">
        <f t="shared" si="132"/>
        <v>8.6939999999999991</v>
      </c>
      <c r="K151" s="549">
        <f t="shared" si="132"/>
        <v>7.73</v>
      </c>
      <c r="L151" s="549">
        <f t="shared" ref="L151" si="133">SUM(L152:L155)</f>
        <v>8.1010000000000009</v>
      </c>
      <c r="M151" s="549">
        <f t="shared" ref="M151:W151" si="134">SUM(M152:M155)</f>
        <v>0</v>
      </c>
      <c r="N151" s="549">
        <f t="shared" si="134"/>
        <v>8.4819999999999993</v>
      </c>
      <c r="O151" s="549">
        <f t="shared" si="134"/>
        <v>0</v>
      </c>
      <c r="P151" s="549">
        <f t="shared" si="134"/>
        <v>8.8800000000000008</v>
      </c>
      <c r="Q151" s="549">
        <f t="shared" ref="Q151:R151" si="135">SUM(Q152:Q155)</f>
        <v>0</v>
      </c>
      <c r="R151" s="549">
        <f t="shared" si="135"/>
        <v>9.298</v>
      </c>
      <c r="S151" s="549">
        <f t="shared" si="134"/>
        <v>0</v>
      </c>
      <c r="T151" s="549">
        <f t="shared" si="134"/>
        <v>9.7349999999999994</v>
      </c>
      <c r="U151" s="549">
        <f t="shared" ref="U151" si="136">SUM(U152:U155)</f>
        <v>0</v>
      </c>
      <c r="V151" s="549">
        <f t="shared" si="134"/>
        <v>44.496000000000002</v>
      </c>
      <c r="W151" s="549">
        <f t="shared" si="134"/>
        <v>0</v>
      </c>
    </row>
    <row r="152" spans="1:23" s="539" customFormat="1" ht="8.1" customHeight="1" x14ac:dyDescent="0.25">
      <c r="A152" s="745" t="s">
        <v>959</v>
      </c>
      <c r="B152" s="746"/>
      <c r="C152" s="747" t="s">
        <v>960</v>
      </c>
      <c r="D152" s="748"/>
      <c r="E152" s="748"/>
      <c r="F152" s="748"/>
      <c r="G152" s="749"/>
      <c r="H152" s="543" t="s">
        <v>807</v>
      </c>
      <c r="I152" s="544">
        <f>I136</f>
        <v>22.116999999999994</v>
      </c>
      <c r="J152" s="544">
        <f>5.785+2.909</f>
        <v>8.6939999999999991</v>
      </c>
      <c r="K152" s="544">
        <v>7.73</v>
      </c>
      <c r="L152" s="544">
        <v>8.1010000000000009</v>
      </c>
      <c r="M152" s="544"/>
      <c r="N152" s="544">
        <v>8.4819999999999993</v>
      </c>
      <c r="O152" s="544"/>
      <c r="P152" s="544">
        <v>8.8800000000000008</v>
      </c>
      <c r="Q152" s="544"/>
      <c r="R152" s="544">
        <v>9.298</v>
      </c>
      <c r="S152" s="544"/>
      <c r="T152" s="544">
        <v>9.7349999999999994</v>
      </c>
      <c r="U152" s="544"/>
      <c r="V152" s="545">
        <f t="shared" ref="V152" si="137">L152+N152+P152+R152+T152</f>
        <v>44.496000000000002</v>
      </c>
      <c r="W152" s="544">
        <f>M152+O152+S152</f>
        <v>0</v>
      </c>
    </row>
    <row r="153" spans="1:23" s="539" customFormat="1" ht="8.1" customHeight="1" x14ac:dyDescent="0.25">
      <c r="A153" s="726" t="s">
        <v>961</v>
      </c>
      <c r="B153" s="727"/>
      <c r="C153" s="728" t="s">
        <v>962</v>
      </c>
      <c r="D153" s="729"/>
      <c r="E153" s="729"/>
      <c r="F153" s="729"/>
      <c r="G153" s="730"/>
      <c r="H153" s="540" t="s">
        <v>807</v>
      </c>
      <c r="I153" s="542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0"/>
    </row>
    <row r="154" spans="1:23" s="539" customFormat="1" ht="8.1" customHeight="1" x14ac:dyDescent="0.25">
      <c r="A154" s="726" t="s">
        <v>963</v>
      </c>
      <c r="B154" s="727"/>
      <c r="C154" s="728" t="s">
        <v>964</v>
      </c>
      <c r="D154" s="729"/>
      <c r="E154" s="729"/>
      <c r="F154" s="729"/>
      <c r="G154" s="730"/>
      <c r="H154" s="540" t="s">
        <v>807</v>
      </c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0"/>
    </row>
    <row r="155" spans="1:23" s="539" customFormat="1" ht="9" thickBot="1" x14ac:dyDescent="0.3">
      <c r="A155" s="721" t="s">
        <v>965</v>
      </c>
      <c r="B155" s="722"/>
      <c r="C155" s="734" t="s">
        <v>966</v>
      </c>
      <c r="D155" s="735"/>
      <c r="E155" s="735"/>
      <c r="F155" s="735"/>
      <c r="G155" s="736"/>
      <c r="H155" s="559" t="s">
        <v>807</v>
      </c>
      <c r="I155" s="560"/>
      <c r="J155" s="560"/>
      <c r="K155" s="560"/>
      <c r="L155" s="560"/>
      <c r="M155" s="560"/>
      <c r="N155" s="560"/>
      <c r="O155" s="560"/>
      <c r="P155" s="560"/>
      <c r="Q155" s="560"/>
      <c r="R155" s="560"/>
      <c r="S155" s="560"/>
      <c r="T155" s="560"/>
      <c r="U155" s="560"/>
      <c r="V155" s="560"/>
      <c r="W155" s="559"/>
    </row>
    <row r="156" spans="1:23" s="539" customFormat="1" ht="9" customHeight="1" x14ac:dyDescent="0.25">
      <c r="A156" s="815" t="s">
        <v>967</v>
      </c>
      <c r="B156" s="816"/>
      <c r="C156" s="817" t="s">
        <v>891</v>
      </c>
      <c r="D156" s="818"/>
      <c r="E156" s="818"/>
      <c r="F156" s="818"/>
      <c r="G156" s="819"/>
      <c r="H156" s="561" t="s">
        <v>121</v>
      </c>
      <c r="I156" s="562"/>
      <c r="J156" s="562"/>
      <c r="K156" s="562"/>
      <c r="L156" s="562"/>
      <c r="M156" s="562"/>
      <c r="N156" s="562"/>
      <c r="O156" s="562"/>
      <c r="P156" s="562"/>
      <c r="Q156" s="562"/>
      <c r="R156" s="562"/>
      <c r="S156" s="562"/>
      <c r="T156" s="562"/>
      <c r="U156" s="562"/>
      <c r="V156" s="562"/>
      <c r="W156" s="561"/>
    </row>
    <row r="157" spans="1:23" s="539" customFormat="1" ht="16.5" customHeight="1" x14ac:dyDescent="0.25">
      <c r="A157" s="745" t="s">
        <v>968</v>
      </c>
      <c r="B157" s="746"/>
      <c r="C157" s="747" t="s">
        <v>969</v>
      </c>
      <c r="D157" s="748"/>
      <c r="E157" s="748"/>
      <c r="F157" s="748"/>
      <c r="G157" s="749"/>
      <c r="H157" s="543" t="s">
        <v>807</v>
      </c>
      <c r="I157" s="544">
        <f>I106+I102+I66</f>
        <v>28.310999999999993</v>
      </c>
      <c r="J157" s="545">
        <f t="shared" ref="J157:K157" si="138">J106+J102+J66</f>
        <v>34.256666666666682</v>
      </c>
      <c r="K157" s="545">
        <f t="shared" si="138"/>
        <v>14.955240000000011</v>
      </c>
      <c r="L157" s="545">
        <f>L106+L102+L66</f>
        <v>12.173091520000023</v>
      </c>
      <c r="M157" s="544"/>
      <c r="N157" s="545">
        <f t="shared" ref="N157" si="139">N106+N102+N66</f>
        <v>11.909726821440014</v>
      </c>
      <c r="O157" s="545"/>
      <c r="P157" s="545">
        <f t="shared" ref="P157" si="140">P106+P102+P66</f>
        <v>11.680983982047687</v>
      </c>
      <c r="Q157" s="545"/>
      <c r="R157" s="545">
        <f t="shared" ref="R157" si="141">R106+R102+R66</f>
        <v>11.488490229203929</v>
      </c>
      <c r="S157" s="545"/>
      <c r="T157" s="545">
        <f t="shared" ref="T157" si="142">T106+T102+T66</f>
        <v>11.33394926997655</v>
      </c>
      <c r="U157" s="545"/>
      <c r="V157" s="545">
        <f>V106+V102+V66</f>
        <v>58.5862418226682</v>
      </c>
      <c r="W157" s="545">
        <f>W106+W102+W66</f>
        <v>0</v>
      </c>
    </row>
    <row r="158" spans="1:23" s="539" customFormat="1" ht="8.1" customHeight="1" x14ac:dyDescent="0.25">
      <c r="A158" s="726" t="s">
        <v>970</v>
      </c>
      <c r="B158" s="727"/>
      <c r="C158" s="728" t="s">
        <v>971</v>
      </c>
      <c r="D158" s="729"/>
      <c r="E158" s="729"/>
      <c r="F158" s="729"/>
      <c r="G158" s="730"/>
      <c r="H158" s="540" t="s">
        <v>807</v>
      </c>
      <c r="I158" s="542"/>
      <c r="J158" s="542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0"/>
    </row>
    <row r="159" spans="1:23" s="539" customFormat="1" ht="8.1" customHeight="1" x14ac:dyDescent="0.25">
      <c r="A159" s="726" t="s">
        <v>972</v>
      </c>
      <c r="B159" s="727"/>
      <c r="C159" s="731" t="s">
        <v>973</v>
      </c>
      <c r="D159" s="732"/>
      <c r="E159" s="732"/>
      <c r="F159" s="732"/>
      <c r="G159" s="733"/>
      <c r="H159" s="540" t="s">
        <v>807</v>
      </c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0"/>
    </row>
    <row r="160" spans="1:23" s="539" customFormat="1" ht="8.1" customHeight="1" x14ac:dyDescent="0.25">
      <c r="A160" s="726" t="s">
        <v>974</v>
      </c>
      <c r="B160" s="727"/>
      <c r="C160" s="728" t="s">
        <v>975</v>
      </c>
      <c r="D160" s="729"/>
      <c r="E160" s="729"/>
      <c r="F160" s="729"/>
      <c r="G160" s="730"/>
      <c r="H160" s="540" t="s">
        <v>807</v>
      </c>
      <c r="I160" s="542"/>
      <c r="J160" s="542"/>
      <c r="K160" s="542"/>
      <c r="L160" s="542"/>
      <c r="M160" s="542"/>
      <c r="N160" s="542"/>
      <c r="O160" s="542"/>
      <c r="P160" s="542"/>
      <c r="Q160" s="542"/>
      <c r="R160" s="542"/>
      <c r="S160" s="542"/>
      <c r="T160" s="542"/>
      <c r="U160" s="542"/>
      <c r="V160" s="542"/>
      <c r="W160" s="540"/>
    </row>
    <row r="161" spans="1:23" s="539" customFormat="1" ht="8.1" customHeight="1" x14ac:dyDescent="0.25">
      <c r="A161" s="726" t="s">
        <v>976</v>
      </c>
      <c r="B161" s="727"/>
      <c r="C161" s="731" t="s">
        <v>977</v>
      </c>
      <c r="D161" s="732"/>
      <c r="E161" s="732"/>
      <c r="F161" s="732"/>
      <c r="G161" s="733"/>
      <c r="H161" s="540" t="s">
        <v>807</v>
      </c>
      <c r="I161" s="542"/>
      <c r="J161" s="542"/>
      <c r="K161" s="542"/>
      <c r="L161" s="542"/>
      <c r="M161" s="542"/>
      <c r="N161" s="542"/>
      <c r="O161" s="542"/>
      <c r="P161" s="542"/>
      <c r="Q161" s="542"/>
      <c r="R161" s="542"/>
      <c r="S161" s="542"/>
      <c r="T161" s="542"/>
      <c r="U161" s="542"/>
      <c r="V161" s="542"/>
      <c r="W161" s="540"/>
    </row>
    <row r="162" spans="1:23" s="539" customFormat="1" ht="17.25" customHeight="1" thickBot="1" x14ac:dyDescent="0.3">
      <c r="A162" s="721" t="s">
        <v>978</v>
      </c>
      <c r="B162" s="722"/>
      <c r="C162" s="734" t="s">
        <v>979</v>
      </c>
      <c r="D162" s="735"/>
      <c r="E162" s="735"/>
      <c r="F162" s="735"/>
      <c r="G162" s="736"/>
      <c r="H162" s="559" t="s">
        <v>121</v>
      </c>
      <c r="I162" s="560"/>
      <c r="J162" s="560"/>
      <c r="K162" s="560"/>
      <c r="L162" s="560"/>
      <c r="M162" s="560"/>
      <c r="N162" s="560"/>
      <c r="O162" s="560"/>
      <c r="P162" s="560"/>
      <c r="Q162" s="560"/>
      <c r="R162" s="560"/>
      <c r="S162" s="560"/>
      <c r="T162" s="560"/>
      <c r="U162" s="560"/>
      <c r="V162" s="560"/>
      <c r="W162" s="559"/>
    </row>
    <row r="163" spans="1:23" s="563" customFormat="1" ht="10.5" customHeight="1" thickBot="1" x14ac:dyDescent="0.25">
      <c r="A163" s="804" t="s">
        <v>980</v>
      </c>
      <c r="B163" s="805"/>
      <c r="C163" s="805"/>
      <c r="D163" s="805"/>
      <c r="E163" s="805"/>
      <c r="F163" s="805"/>
      <c r="G163" s="805"/>
      <c r="H163" s="805"/>
      <c r="I163" s="805"/>
      <c r="J163" s="805"/>
      <c r="K163" s="805"/>
      <c r="L163" s="805"/>
      <c r="M163" s="805"/>
      <c r="N163" s="805"/>
      <c r="O163" s="805"/>
      <c r="P163" s="805"/>
      <c r="Q163" s="805"/>
      <c r="R163" s="805"/>
      <c r="S163" s="805"/>
      <c r="T163" s="805"/>
      <c r="U163" s="805"/>
      <c r="V163" s="805"/>
      <c r="W163" s="806"/>
    </row>
    <row r="164" spans="1:23" s="539" customFormat="1" ht="9" customHeight="1" x14ac:dyDescent="0.25">
      <c r="A164" s="810" t="s">
        <v>981</v>
      </c>
      <c r="B164" s="811"/>
      <c r="C164" s="812" t="s">
        <v>982</v>
      </c>
      <c r="D164" s="813"/>
      <c r="E164" s="813"/>
      <c r="F164" s="813"/>
      <c r="G164" s="814"/>
      <c r="H164" s="548" t="s">
        <v>807</v>
      </c>
      <c r="I164" s="550">
        <f t="shared" ref="I164:K164" si="143">I170+I172+I181</f>
        <v>136.4408</v>
      </c>
      <c r="J164" s="550">
        <f t="shared" si="143"/>
        <v>145.8268928</v>
      </c>
      <c r="K164" s="550">
        <f t="shared" si="143"/>
        <v>112.2430944</v>
      </c>
      <c r="L164" s="550">
        <f>L170+L172+L181</f>
        <v>118.54044066754562</v>
      </c>
      <c r="M164" s="550">
        <f t="shared" ref="M164:W164" si="144">M170+M172+M181</f>
        <v>0</v>
      </c>
      <c r="N164" s="550">
        <f t="shared" si="144"/>
        <v>125.08919595497788</v>
      </c>
      <c r="O164" s="550">
        <f t="shared" si="144"/>
        <v>0</v>
      </c>
      <c r="P164" s="550">
        <f t="shared" ref="P164:Q164" si="145">P170+P172+P181</f>
        <v>132.03977304732737</v>
      </c>
      <c r="Q164" s="550">
        <f t="shared" si="145"/>
        <v>0</v>
      </c>
      <c r="R164" s="550">
        <f t="shared" si="144"/>
        <v>139.42010413117447</v>
      </c>
      <c r="S164" s="550">
        <f t="shared" si="144"/>
        <v>0</v>
      </c>
      <c r="T164" s="550">
        <f t="shared" ref="T164:U164" si="146">T170+T172+T181</f>
        <v>147.26030456652805</v>
      </c>
      <c r="U164" s="550">
        <f t="shared" si="146"/>
        <v>0</v>
      </c>
      <c r="V164" s="550">
        <f t="shared" si="144"/>
        <v>662.34981836755333</v>
      </c>
      <c r="W164" s="550">
        <f t="shared" si="144"/>
        <v>0</v>
      </c>
    </row>
    <row r="165" spans="1:23" s="539" customFormat="1" ht="8.1" customHeight="1" x14ac:dyDescent="0.25">
      <c r="A165" s="726" t="s">
        <v>983</v>
      </c>
      <c r="B165" s="727"/>
      <c r="C165" s="728" t="s">
        <v>808</v>
      </c>
      <c r="D165" s="729"/>
      <c r="E165" s="729"/>
      <c r="F165" s="729"/>
      <c r="G165" s="730"/>
      <c r="H165" s="540" t="s">
        <v>807</v>
      </c>
      <c r="I165" s="542"/>
      <c r="J165" s="542"/>
      <c r="K165" s="542"/>
      <c r="L165" s="542"/>
      <c r="M165" s="542"/>
      <c r="N165" s="542"/>
      <c r="O165" s="542"/>
      <c r="P165" s="542"/>
      <c r="Q165" s="542"/>
      <c r="R165" s="542"/>
      <c r="S165" s="542"/>
      <c r="T165" s="542"/>
      <c r="U165" s="542"/>
      <c r="V165" s="542"/>
      <c r="W165" s="540"/>
    </row>
    <row r="166" spans="1:23" s="539" customFormat="1" ht="16.5" customHeight="1" x14ac:dyDescent="0.25">
      <c r="A166" s="726" t="s">
        <v>984</v>
      </c>
      <c r="B166" s="727"/>
      <c r="C166" s="731" t="s">
        <v>809</v>
      </c>
      <c r="D166" s="732"/>
      <c r="E166" s="732"/>
      <c r="F166" s="732"/>
      <c r="G166" s="733"/>
      <c r="H166" s="540" t="s">
        <v>807</v>
      </c>
      <c r="I166" s="542"/>
      <c r="J166" s="542"/>
      <c r="K166" s="542"/>
      <c r="L166" s="542"/>
      <c r="M166" s="542"/>
      <c r="N166" s="542"/>
      <c r="O166" s="542"/>
      <c r="P166" s="542"/>
      <c r="Q166" s="542"/>
      <c r="R166" s="542"/>
      <c r="S166" s="542"/>
      <c r="T166" s="542"/>
      <c r="U166" s="542"/>
      <c r="V166" s="542"/>
      <c r="W166" s="540"/>
    </row>
    <row r="167" spans="1:23" s="539" customFormat="1" ht="16.5" customHeight="1" x14ac:dyDescent="0.25">
      <c r="A167" s="726" t="s">
        <v>985</v>
      </c>
      <c r="B167" s="727"/>
      <c r="C167" s="731" t="s">
        <v>810</v>
      </c>
      <c r="D167" s="732"/>
      <c r="E167" s="732"/>
      <c r="F167" s="732"/>
      <c r="G167" s="733"/>
      <c r="H167" s="540" t="s">
        <v>807</v>
      </c>
      <c r="I167" s="542"/>
      <c r="J167" s="542"/>
      <c r="K167" s="542"/>
      <c r="L167" s="542"/>
      <c r="M167" s="542"/>
      <c r="N167" s="542"/>
      <c r="O167" s="542"/>
      <c r="P167" s="542"/>
      <c r="Q167" s="542"/>
      <c r="R167" s="542"/>
      <c r="S167" s="542"/>
      <c r="T167" s="542"/>
      <c r="U167" s="542"/>
      <c r="V167" s="542"/>
      <c r="W167" s="540"/>
    </row>
    <row r="168" spans="1:23" s="539" customFormat="1" ht="16.5" customHeight="1" x14ac:dyDescent="0.25">
      <c r="A168" s="726" t="s">
        <v>986</v>
      </c>
      <c r="B168" s="727"/>
      <c r="C168" s="731" t="s">
        <v>811</v>
      </c>
      <c r="D168" s="732"/>
      <c r="E168" s="732"/>
      <c r="F168" s="732"/>
      <c r="G168" s="733"/>
      <c r="H168" s="540" t="s">
        <v>807</v>
      </c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0"/>
    </row>
    <row r="169" spans="1:23" s="539" customFormat="1" ht="8.1" customHeight="1" x14ac:dyDescent="0.25">
      <c r="A169" s="726" t="s">
        <v>987</v>
      </c>
      <c r="B169" s="727"/>
      <c r="C169" s="728" t="s">
        <v>812</v>
      </c>
      <c r="D169" s="729"/>
      <c r="E169" s="729"/>
      <c r="F169" s="729"/>
      <c r="G169" s="730"/>
      <c r="H169" s="540" t="s">
        <v>807</v>
      </c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0"/>
    </row>
    <row r="170" spans="1:23" s="539" customFormat="1" ht="8.1" customHeight="1" x14ac:dyDescent="0.25">
      <c r="A170" s="745" t="s">
        <v>988</v>
      </c>
      <c r="B170" s="746"/>
      <c r="C170" s="747" t="s">
        <v>813</v>
      </c>
      <c r="D170" s="748"/>
      <c r="E170" s="748"/>
      <c r="F170" s="748"/>
      <c r="G170" s="749"/>
      <c r="H170" s="543" t="s">
        <v>807</v>
      </c>
      <c r="I170" s="545">
        <v>92.259</v>
      </c>
      <c r="J170" s="545">
        <f t="shared" ref="J170" si="147">J26*1.2</f>
        <v>110.02889280000001</v>
      </c>
      <c r="K170" s="545">
        <f>K26*1.2</f>
        <v>112.2430944</v>
      </c>
      <c r="L170" s="545">
        <f t="shared" ref="L170:U170" si="148">L26*1.2</f>
        <v>118.54044066754562</v>
      </c>
      <c r="M170" s="545">
        <f t="shared" si="148"/>
        <v>0</v>
      </c>
      <c r="N170" s="545">
        <f t="shared" si="148"/>
        <v>125.08919595497788</v>
      </c>
      <c r="O170" s="545">
        <f t="shared" si="148"/>
        <v>0</v>
      </c>
      <c r="P170" s="545">
        <f t="shared" si="148"/>
        <v>132.03977304732737</v>
      </c>
      <c r="Q170" s="545">
        <f t="shared" si="148"/>
        <v>0</v>
      </c>
      <c r="R170" s="545">
        <f t="shared" si="148"/>
        <v>139.42010413117447</v>
      </c>
      <c r="S170" s="545">
        <f t="shared" si="148"/>
        <v>0</v>
      </c>
      <c r="T170" s="545">
        <f t="shared" si="148"/>
        <v>147.26030456652805</v>
      </c>
      <c r="U170" s="545">
        <f t="shared" si="148"/>
        <v>0</v>
      </c>
      <c r="V170" s="545">
        <f>V26*1.2</f>
        <v>662.34981836755333</v>
      </c>
      <c r="W170" s="545">
        <f t="shared" ref="W170" si="149">W26*1.2</f>
        <v>0</v>
      </c>
    </row>
    <row r="171" spans="1:23" s="539" customFormat="1" ht="8.1" customHeight="1" x14ac:dyDescent="0.25">
      <c r="A171" s="726" t="s">
        <v>989</v>
      </c>
      <c r="B171" s="727"/>
      <c r="C171" s="728" t="s">
        <v>815</v>
      </c>
      <c r="D171" s="729"/>
      <c r="E171" s="729"/>
      <c r="F171" s="729"/>
      <c r="G171" s="730"/>
      <c r="H171" s="540" t="s">
        <v>807</v>
      </c>
      <c r="I171" s="542"/>
      <c r="J171" s="542"/>
      <c r="K171" s="542"/>
      <c r="L171" s="542"/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0"/>
    </row>
    <row r="172" spans="1:23" s="539" customFormat="1" ht="8.1" customHeight="1" x14ac:dyDescent="0.25">
      <c r="A172" s="745" t="s">
        <v>990</v>
      </c>
      <c r="B172" s="746"/>
      <c r="C172" s="747" t="s">
        <v>817</v>
      </c>
      <c r="D172" s="748"/>
      <c r="E172" s="748"/>
      <c r="F172" s="748"/>
      <c r="G172" s="749"/>
      <c r="H172" s="543" t="s">
        <v>807</v>
      </c>
      <c r="I172" s="544">
        <v>21.094999999999999</v>
      </c>
      <c r="J172" s="544">
        <f t="shared" ref="J172:U172" si="150">J28*1.2</f>
        <v>24.038</v>
      </c>
      <c r="K172" s="544">
        <f t="shared" si="150"/>
        <v>0</v>
      </c>
      <c r="L172" s="544">
        <f t="shared" si="150"/>
        <v>0</v>
      </c>
      <c r="M172" s="544">
        <f t="shared" si="150"/>
        <v>0</v>
      </c>
      <c r="N172" s="544">
        <f t="shared" si="150"/>
        <v>0</v>
      </c>
      <c r="O172" s="544">
        <f t="shared" si="150"/>
        <v>0</v>
      </c>
      <c r="P172" s="544">
        <f t="shared" si="150"/>
        <v>0</v>
      </c>
      <c r="Q172" s="544">
        <f t="shared" si="150"/>
        <v>0</v>
      </c>
      <c r="R172" s="544">
        <f t="shared" si="150"/>
        <v>0</v>
      </c>
      <c r="S172" s="544">
        <f t="shared" si="150"/>
        <v>0</v>
      </c>
      <c r="T172" s="544">
        <f t="shared" si="150"/>
        <v>0</v>
      </c>
      <c r="U172" s="544">
        <f t="shared" si="150"/>
        <v>0</v>
      </c>
      <c r="V172" s="544">
        <f t="shared" ref="V172:W172" si="151">V28*1.2</f>
        <v>0</v>
      </c>
      <c r="W172" s="544">
        <f t="shared" si="151"/>
        <v>0</v>
      </c>
    </row>
    <row r="173" spans="1:23" s="539" customFormat="1" ht="8.1" customHeight="1" x14ac:dyDescent="0.25">
      <c r="A173" s="726" t="s">
        <v>991</v>
      </c>
      <c r="B173" s="727"/>
      <c r="C173" s="728" t="s">
        <v>818</v>
      </c>
      <c r="D173" s="729"/>
      <c r="E173" s="729"/>
      <c r="F173" s="729"/>
      <c r="G173" s="730"/>
      <c r="H173" s="540" t="s">
        <v>807</v>
      </c>
      <c r="I173" s="542"/>
      <c r="J173" s="542"/>
      <c r="K173" s="542"/>
      <c r="L173" s="542"/>
      <c r="M173" s="542"/>
      <c r="N173" s="542"/>
      <c r="O173" s="542"/>
      <c r="P173" s="542"/>
      <c r="Q173" s="542"/>
      <c r="R173" s="542"/>
      <c r="S173" s="542"/>
      <c r="T173" s="542"/>
      <c r="U173" s="542"/>
      <c r="V173" s="542"/>
      <c r="W173" s="540"/>
    </row>
    <row r="174" spans="1:23" s="539" customFormat="1" ht="8.1" customHeight="1" x14ac:dyDescent="0.25">
      <c r="A174" s="726" t="s">
        <v>992</v>
      </c>
      <c r="B174" s="727"/>
      <c r="C174" s="728" t="s">
        <v>820</v>
      </c>
      <c r="D174" s="729"/>
      <c r="E174" s="729"/>
      <c r="F174" s="729"/>
      <c r="G174" s="730"/>
      <c r="H174" s="540" t="s">
        <v>807</v>
      </c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/>
      <c r="V174" s="542"/>
      <c r="W174" s="540"/>
    </row>
    <row r="175" spans="1:23" s="539" customFormat="1" ht="16.5" customHeight="1" x14ac:dyDescent="0.25">
      <c r="A175" s="726" t="s">
        <v>993</v>
      </c>
      <c r="B175" s="727"/>
      <c r="C175" s="728" t="s">
        <v>822</v>
      </c>
      <c r="D175" s="729"/>
      <c r="E175" s="729"/>
      <c r="F175" s="729"/>
      <c r="G175" s="730"/>
      <c r="H175" s="540" t="s">
        <v>807</v>
      </c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542"/>
      <c r="T175" s="542"/>
      <c r="U175" s="542"/>
      <c r="V175" s="542"/>
      <c r="W175" s="540"/>
    </row>
    <row r="176" spans="1:23" s="539" customFormat="1" ht="8.1" customHeight="1" x14ac:dyDescent="0.25">
      <c r="A176" s="726" t="s">
        <v>994</v>
      </c>
      <c r="B176" s="727"/>
      <c r="C176" s="731" t="s">
        <v>824</v>
      </c>
      <c r="D176" s="732"/>
      <c r="E176" s="732"/>
      <c r="F176" s="732"/>
      <c r="G176" s="733"/>
      <c r="H176" s="540" t="s">
        <v>807</v>
      </c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  <c r="S176" s="542"/>
      <c r="T176" s="542"/>
      <c r="U176" s="542"/>
      <c r="V176" s="542"/>
      <c r="W176" s="540"/>
    </row>
    <row r="177" spans="1:23" s="539" customFormat="1" ht="8.1" customHeight="1" x14ac:dyDescent="0.25">
      <c r="A177" s="726" t="s">
        <v>995</v>
      </c>
      <c r="B177" s="727"/>
      <c r="C177" s="731" t="s">
        <v>826</v>
      </c>
      <c r="D177" s="732"/>
      <c r="E177" s="732"/>
      <c r="F177" s="732"/>
      <c r="G177" s="733"/>
      <c r="H177" s="540" t="s">
        <v>807</v>
      </c>
      <c r="I177" s="542"/>
      <c r="J177" s="542"/>
      <c r="K177" s="542"/>
      <c r="L177" s="542"/>
      <c r="M177" s="542"/>
      <c r="N177" s="542"/>
      <c r="O177" s="542"/>
      <c r="P177" s="542"/>
      <c r="Q177" s="542"/>
      <c r="R177" s="542"/>
      <c r="S177" s="542"/>
      <c r="T177" s="542"/>
      <c r="U177" s="542"/>
      <c r="V177" s="542"/>
      <c r="W177" s="540"/>
    </row>
    <row r="178" spans="1:23" s="539" customFormat="1" ht="16.5" customHeight="1" x14ac:dyDescent="0.25">
      <c r="A178" s="726" t="s">
        <v>996</v>
      </c>
      <c r="B178" s="727"/>
      <c r="C178" s="728" t="s">
        <v>997</v>
      </c>
      <c r="D178" s="729"/>
      <c r="E178" s="729"/>
      <c r="F178" s="729"/>
      <c r="G178" s="730"/>
      <c r="H178" s="540" t="s">
        <v>807</v>
      </c>
      <c r="I178" s="542"/>
      <c r="J178" s="542"/>
      <c r="K178" s="542"/>
      <c r="L178" s="542"/>
      <c r="M178" s="542"/>
      <c r="N178" s="542"/>
      <c r="O178" s="542"/>
      <c r="P178" s="542"/>
      <c r="Q178" s="542"/>
      <c r="R178" s="542"/>
      <c r="S178" s="542"/>
      <c r="T178" s="542"/>
      <c r="U178" s="542"/>
      <c r="V178" s="542"/>
      <c r="W178" s="540"/>
    </row>
    <row r="179" spans="1:23" s="539" customFormat="1" ht="8.1" customHeight="1" x14ac:dyDescent="0.25">
      <c r="A179" s="726" t="s">
        <v>998</v>
      </c>
      <c r="B179" s="727"/>
      <c r="C179" s="731" t="s">
        <v>999</v>
      </c>
      <c r="D179" s="732"/>
      <c r="E179" s="732"/>
      <c r="F179" s="732"/>
      <c r="G179" s="733"/>
      <c r="H179" s="540" t="s">
        <v>807</v>
      </c>
      <c r="I179" s="542"/>
      <c r="J179" s="542"/>
      <c r="K179" s="542"/>
      <c r="L179" s="542"/>
      <c r="M179" s="542"/>
      <c r="N179" s="542"/>
      <c r="O179" s="542"/>
      <c r="P179" s="542"/>
      <c r="Q179" s="542"/>
      <c r="R179" s="542"/>
      <c r="S179" s="542"/>
      <c r="T179" s="542"/>
      <c r="U179" s="542"/>
      <c r="V179" s="542"/>
      <c r="W179" s="540"/>
    </row>
    <row r="180" spans="1:23" s="539" customFormat="1" ht="8.1" customHeight="1" x14ac:dyDescent="0.25">
      <c r="A180" s="726" t="s">
        <v>1000</v>
      </c>
      <c r="B180" s="727"/>
      <c r="C180" s="731" t="s">
        <v>1001</v>
      </c>
      <c r="D180" s="732"/>
      <c r="E180" s="732"/>
      <c r="F180" s="732"/>
      <c r="G180" s="733"/>
      <c r="H180" s="540" t="s">
        <v>807</v>
      </c>
      <c r="I180" s="542"/>
      <c r="J180" s="542"/>
      <c r="K180" s="542"/>
      <c r="L180" s="542"/>
      <c r="M180" s="542"/>
      <c r="N180" s="542"/>
      <c r="O180" s="542"/>
      <c r="P180" s="542"/>
      <c r="Q180" s="542"/>
      <c r="R180" s="542"/>
      <c r="S180" s="542"/>
      <c r="T180" s="542"/>
      <c r="U180" s="542"/>
      <c r="V180" s="542"/>
      <c r="W180" s="540"/>
    </row>
    <row r="181" spans="1:23" s="539" customFormat="1" ht="8.1" customHeight="1" x14ac:dyDescent="0.25">
      <c r="A181" s="745" t="s">
        <v>1002</v>
      </c>
      <c r="B181" s="746"/>
      <c r="C181" s="747" t="s">
        <v>828</v>
      </c>
      <c r="D181" s="748"/>
      <c r="E181" s="748"/>
      <c r="F181" s="748"/>
      <c r="G181" s="749"/>
      <c r="H181" s="543" t="s">
        <v>807</v>
      </c>
      <c r="I181" s="544">
        <f t="shared" ref="I181:U181" si="152">I34*1.2</f>
        <v>23.0868</v>
      </c>
      <c r="J181" s="544">
        <f t="shared" si="152"/>
        <v>11.76</v>
      </c>
      <c r="K181" s="544">
        <f t="shared" si="152"/>
        <v>0</v>
      </c>
      <c r="L181" s="544">
        <f t="shared" si="152"/>
        <v>0</v>
      </c>
      <c r="M181" s="544">
        <f t="shared" si="152"/>
        <v>0</v>
      </c>
      <c r="N181" s="544">
        <f t="shared" si="152"/>
        <v>0</v>
      </c>
      <c r="O181" s="544">
        <f t="shared" si="152"/>
        <v>0</v>
      </c>
      <c r="P181" s="544">
        <f t="shared" si="152"/>
        <v>0</v>
      </c>
      <c r="Q181" s="544">
        <f t="shared" si="152"/>
        <v>0</v>
      </c>
      <c r="R181" s="544">
        <f t="shared" si="152"/>
        <v>0</v>
      </c>
      <c r="S181" s="544">
        <f t="shared" si="152"/>
        <v>0</v>
      </c>
      <c r="T181" s="544">
        <f t="shared" si="152"/>
        <v>0</v>
      </c>
      <c r="U181" s="544">
        <f t="shared" si="152"/>
        <v>0</v>
      </c>
      <c r="V181" s="544">
        <f t="shared" ref="V181:W181" si="153">V34*1.2</f>
        <v>0</v>
      </c>
      <c r="W181" s="544">
        <f t="shared" si="153"/>
        <v>0</v>
      </c>
    </row>
    <row r="182" spans="1:23" s="539" customFormat="1" ht="9" customHeight="1" x14ac:dyDescent="0.25">
      <c r="A182" s="750" t="s">
        <v>1003</v>
      </c>
      <c r="B182" s="751"/>
      <c r="C182" s="752" t="s">
        <v>1004</v>
      </c>
      <c r="D182" s="753"/>
      <c r="E182" s="753"/>
      <c r="F182" s="753"/>
      <c r="G182" s="754"/>
      <c r="H182" s="548" t="s">
        <v>807</v>
      </c>
      <c r="I182" s="550">
        <f t="shared" ref="I182:W182" si="154">I183+I184+I191+I192+I193+I195+I196+I197+I199</f>
        <v>87.409399999999991</v>
      </c>
      <c r="J182" s="550">
        <f t="shared" si="154"/>
        <v>99.77842613333334</v>
      </c>
      <c r="K182" s="550">
        <f t="shared" si="154"/>
        <v>90.956254399999992</v>
      </c>
      <c r="L182" s="550">
        <f t="shared" si="154"/>
        <v>94.622154611199988</v>
      </c>
      <c r="M182" s="550">
        <f t="shared" si="154"/>
        <v>0</v>
      </c>
      <c r="N182" s="550">
        <f t="shared" si="154"/>
        <v>98.902295877926406</v>
      </c>
      <c r="O182" s="550">
        <f t="shared" si="154"/>
        <v>0</v>
      </c>
      <c r="P182" s="550">
        <f t="shared" si="154"/>
        <v>103.39300378418892</v>
      </c>
      <c r="Q182" s="550">
        <f t="shared" si="154"/>
        <v>0</v>
      </c>
      <c r="R182" s="550">
        <f t="shared" si="154"/>
        <v>108.1041749620458</v>
      </c>
      <c r="S182" s="550">
        <f t="shared" si="154"/>
        <v>0</v>
      </c>
      <c r="T182" s="550">
        <f t="shared" si="154"/>
        <v>113.04617118526195</v>
      </c>
      <c r="U182" s="550">
        <f t="shared" si="154"/>
        <v>0</v>
      </c>
      <c r="V182" s="550">
        <f t="shared" si="154"/>
        <v>518.06780042062303</v>
      </c>
      <c r="W182" s="550">
        <f t="shared" si="154"/>
        <v>0</v>
      </c>
    </row>
    <row r="183" spans="1:23" s="539" customFormat="1" ht="8.1" customHeight="1" x14ac:dyDescent="0.25">
      <c r="A183" s="745" t="s">
        <v>1005</v>
      </c>
      <c r="B183" s="746"/>
      <c r="C183" s="747" t="s">
        <v>1006</v>
      </c>
      <c r="D183" s="748"/>
      <c r="E183" s="748"/>
      <c r="F183" s="748"/>
      <c r="G183" s="749"/>
      <c r="H183" s="543" t="s">
        <v>807</v>
      </c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  <c r="S183" s="544"/>
      <c r="T183" s="544"/>
      <c r="U183" s="544"/>
      <c r="V183" s="544"/>
      <c r="W183" s="543"/>
    </row>
    <row r="184" spans="1:23" s="539" customFormat="1" ht="8.1" customHeight="1" x14ac:dyDescent="0.25">
      <c r="A184" s="745" t="s">
        <v>1007</v>
      </c>
      <c r="B184" s="746"/>
      <c r="C184" s="747" t="s">
        <v>1008</v>
      </c>
      <c r="D184" s="748"/>
      <c r="E184" s="748"/>
      <c r="F184" s="748"/>
      <c r="G184" s="749"/>
      <c r="H184" s="543" t="s">
        <v>807</v>
      </c>
      <c r="I184" s="545">
        <f t="shared" ref="I184:K184" si="155">I187</f>
        <v>4.7320000000000002</v>
      </c>
      <c r="J184" s="545">
        <f t="shared" si="155"/>
        <v>21.464092800000003</v>
      </c>
      <c r="K184" s="545">
        <f t="shared" si="155"/>
        <v>18.083606400000001</v>
      </c>
      <c r="L184" s="545">
        <f t="shared" ref="L184:V184" si="156">L187</f>
        <v>18.9516195072</v>
      </c>
      <c r="M184" s="545">
        <f t="shared" si="156"/>
        <v>0</v>
      </c>
      <c r="N184" s="545">
        <f t="shared" si="156"/>
        <v>19.842345624038398</v>
      </c>
      <c r="O184" s="545">
        <f t="shared" si="156"/>
        <v>0</v>
      </c>
      <c r="P184" s="545">
        <f t="shared" si="156"/>
        <v>20.7749358683682</v>
      </c>
      <c r="Q184" s="545">
        <f t="shared" si="156"/>
        <v>0</v>
      </c>
      <c r="R184" s="545">
        <f t="shared" si="156"/>
        <v>21.751357854181506</v>
      </c>
      <c r="S184" s="545">
        <f t="shared" si="156"/>
        <v>0</v>
      </c>
      <c r="T184" s="545">
        <f t="shared" si="156"/>
        <v>22.773671673328035</v>
      </c>
      <c r="U184" s="545">
        <f t="shared" si="156"/>
        <v>0</v>
      </c>
      <c r="V184" s="545">
        <f t="shared" si="156"/>
        <v>104.09393052711613</v>
      </c>
      <c r="W184" s="545">
        <f t="shared" ref="W184" si="157">W187</f>
        <v>0</v>
      </c>
    </row>
    <row r="185" spans="1:23" s="539" customFormat="1" ht="8.1" customHeight="1" x14ac:dyDescent="0.25">
      <c r="A185" s="726" t="s">
        <v>1009</v>
      </c>
      <c r="B185" s="727"/>
      <c r="C185" s="731" t="s">
        <v>1010</v>
      </c>
      <c r="D185" s="732"/>
      <c r="E185" s="732"/>
      <c r="F185" s="732"/>
      <c r="G185" s="733"/>
      <c r="H185" s="540" t="s">
        <v>807</v>
      </c>
      <c r="I185" s="542"/>
      <c r="J185" s="542"/>
      <c r="K185" s="542"/>
      <c r="L185" s="542"/>
      <c r="M185" s="542"/>
      <c r="N185" s="542"/>
      <c r="O185" s="542"/>
      <c r="P185" s="542"/>
      <c r="Q185" s="542"/>
      <c r="R185" s="542"/>
      <c r="S185" s="542"/>
      <c r="T185" s="542"/>
      <c r="U185" s="542"/>
      <c r="V185" s="542"/>
      <c r="W185" s="540"/>
    </row>
    <row r="186" spans="1:23" s="539" customFormat="1" ht="8.1" customHeight="1" x14ac:dyDescent="0.25">
      <c r="A186" s="726" t="s">
        <v>1011</v>
      </c>
      <c r="B186" s="727"/>
      <c r="C186" s="731" t="s">
        <v>1012</v>
      </c>
      <c r="D186" s="732"/>
      <c r="E186" s="732"/>
      <c r="F186" s="732"/>
      <c r="G186" s="733"/>
      <c r="H186" s="540" t="s">
        <v>807</v>
      </c>
      <c r="I186" s="542"/>
      <c r="J186" s="542"/>
      <c r="K186" s="542"/>
      <c r="L186" s="542"/>
      <c r="M186" s="542"/>
      <c r="N186" s="542"/>
      <c r="O186" s="542"/>
      <c r="P186" s="542"/>
      <c r="Q186" s="542"/>
      <c r="R186" s="542"/>
      <c r="S186" s="542"/>
      <c r="T186" s="542"/>
      <c r="U186" s="542"/>
      <c r="V186" s="542"/>
      <c r="W186" s="540"/>
    </row>
    <row r="187" spans="1:23" s="539" customFormat="1" ht="8.1" customHeight="1" x14ac:dyDescent="0.25">
      <c r="A187" s="745" t="s">
        <v>1013</v>
      </c>
      <c r="B187" s="746"/>
      <c r="C187" s="758" t="s">
        <v>1014</v>
      </c>
      <c r="D187" s="759"/>
      <c r="E187" s="759"/>
      <c r="F187" s="759"/>
      <c r="G187" s="760"/>
      <c r="H187" s="543" t="s">
        <v>807</v>
      </c>
      <c r="I187" s="545">
        <v>4.7320000000000002</v>
      </c>
      <c r="J187" s="545">
        <f t="shared" ref="J187" si="158">J54*1.2</f>
        <v>21.464092800000003</v>
      </c>
      <c r="K187" s="545">
        <f t="shared" ref="K187:V187" si="159">K54*1.2</f>
        <v>18.083606400000001</v>
      </c>
      <c r="L187" s="545">
        <f t="shared" si="159"/>
        <v>18.9516195072</v>
      </c>
      <c r="M187" s="545">
        <f t="shared" si="159"/>
        <v>0</v>
      </c>
      <c r="N187" s="545">
        <f t="shared" si="159"/>
        <v>19.842345624038398</v>
      </c>
      <c r="O187" s="545">
        <f t="shared" si="159"/>
        <v>0</v>
      </c>
      <c r="P187" s="545">
        <f t="shared" si="159"/>
        <v>20.7749358683682</v>
      </c>
      <c r="Q187" s="545">
        <f t="shared" si="159"/>
        <v>0</v>
      </c>
      <c r="R187" s="545">
        <f t="shared" si="159"/>
        <v>21.751357854181506</v>
      </c>
      <c r="S187" s="545">
        <f t="shared" si="159"/>
        <v>0</v>
      </c>
      <c r="T187" s="545">
        <f t="shared" si="159"/>
        <v>22.773671673328035</v>
      </c>
      <c r="U187" s="545">
        <f t="shared" si="159"/>
        <v>0</v>
      </c>
      <c r="V187" s="545">
        <f t="shared" si="159"/>
        <v>104.09393052711613</v>
      </c>
      <c r="W187" s="545">
        <f t="shared" ref="W187" si="160">W54*1.2</f>
        <v>0</v>
      </c>
    </row>
    <row r="188" spans="1:23" s="539" customFormat="1" ht="16.5" customHeight="1" x14ac:dyDescent="0.25">
      <c r="A188" s="726" t="s">
        <v>1015</v>
      </c>
      <c r="B188" s="727"/>
      <c r="C188" s="728" t="s">
        <v>1016</v>
      </c>
      <c r="D188" s="729"/>
      <c r="E188" s="729"/>
      <c r="F188" s="729"/>
      <c r="G188" s="730"/>
      <c r="H188" s="540" t="s">
        <v>807</v>
      </c>
      <c r="I188" s="542"/>
      <c r="J188" s="542"/>
      <c r="K188" s="542"/>
      <c r="L188" s="542"/>
      <c r="M188" s="542"/>
      <c r="N188" s="542"/>
      <c r="O188" s="542"/>
      <c r="P188" s="542"/>
      <c r="Q188" s="542"/>
      <c r="R188" s="542"/>
      <c r="S188" s="542"/>
      <c r="T188" s="542"/>
      <c r="U188" s="542"/>
      <c r="V188" s="542"/>
      <c r="W188" s="540"/>
    </row>
    <row r="189" spans="1:23" s="539" customFormat="1" ht="16.5" customHeight="1" x14ac:dyDescent="0.25">
      <c r="A189" s="726" t="s">
        <v>1017</v>
      </c>
      <c r="B189" s="727"/>
      <c r="C189" s="728" t="s">
        <v>1018</v>
      </c>
      <c r="D189" s="729"/>
      <c r="E189" s="729"/>
      <c r="F189" s="729"/>
      <c r="G189" s="730"/>
      <c r="H189" s="540" t="s">
        <v>807</v>
      </c>
      <c r="I189" s="542"/>
      <c r="J189" s="542"/>
      <c r="K189" s="542"/>
      <c r="L189" s="542"/>
      <c r="M189" s="542"/>
      <c r="N189" s="542"/>
      <c r="O189" s="542"/>
      <c r="P189" s="542"/>
      <c r="Q189" s="542"/>
      <c r="R189" s="542"/>
      <c r="S189" s="542"/>
      <c r="T189" s="542"/>
      <c r="U189" s="542"/>
      <c r="V189" s="542"/>
      <c r="W189" s="540"/>
    </row>
    <row r="190" spans="1:23" s="539" customFormat="1" ht="8.1" customHeight="1" x14ac:dyDescent="0.25">
      <c r="A190" s="726" t="s">
        <v>1019</v>
      </c>
      <c r="B190" s="727"/>
      <c r="C190" s="728" t="s">
        <v>1020</v>
      </c>
      <c r="D190" s="729"/>
      <c r="E190" s="729"/>
      <c r="F190" s="729"/>
      <c r="G190" s="730"/>
      <c r="H190" s="540" t="s">
        <v>807</v>
      </c>
      <c r="I190" s="542"/>
      <c r="J190" s="542"/>
      <c r="K190" s="542"/>
      <c r="L190" s="542"/>
      <c r="M190" s="542"/>
      <c r="N190" s="542"/>
      <c r="O190" s="542"/>
      <c r="P190" s="542"/>
      <c r="Q190" s="542"/>
      <c r="R190" s="542"/>
      <c r="S190" s="542"/>
      <c r="T190" s="542"/>
      <c r="U190" s="542"/>
      <c r="V190" s="542"/>
      <c r="W190" s="540"/>
    </row>
    <row r="191" spans="1:23" s="539" customFormat="1" ht="8.1" customHeight="1" x14ac:dyDescent="0.25">
      <c r="A191" s="745" t="s">
        <v>1021</v>
      </c>
      <c r="B191" s="746"/>
      <c r="C191" s="747" t="s">
        <v>1022</v>
      </c>
      <c r="D191" s="748"/>
      <c r="E191" s="748"/>
      <c r="F191" s="748"/>
      <c r="G191" s="749"/>
      <c r="H191" s="543" t="s">
        <v>807</v>
      </c>
      <c r="I191" s="545">
        <f>12.224+1.8/1.304</f>
        <v>13.60436809815951</v>
      </c>
      <c r="J191" s="545">
        <f>12.33+2/1.304</f>
        <v>13.863742331288343</v>
      </c>
      <c r="K191" s="544">
        <f>12.658</f>
        <v>12.657999999999999</v>
      </c>
      <c r="L191" s="544">
        <f>12.658*Ф17!E15</f>
        <v>13.265584</v>
      </c>
      <c r="M191" s="545"/>
      <c r="N191" s="544">
        <f>12.658*Ф17!E15*Ф17!F15</f>
        <v>13.889066447999999</v>
      </c>
      <c r="O191" s="545"/>
      <c r="P191" s="544">
        <f>12.658*Ф17!E15*Ф17!F15*Ф17!G15</f>
        <v>14.541852571055998</v>
      </c>
      <c r="Q191" s="544"/>
      <c r="R191" s="544">
        <f>12.658*Ф17!E15*Ф17!F15*Ф17!G15*Ф17!H15</f>
        <v>15.225319641895629</v>
      </c>
      <c r="S191" s="544"/>
      <c r="T191" s="544">
        <f>12.658*Ф17!E15*Ф17!F15*Ф17!G15*Ф17!H15*Ф17!I15</f>
        <v>15.940909665064723</v>
      </c>
      <c r="U191" s="544"/>
      <c r="V191" s="545">
        <f>L191+N191+P191+R191+T191</f>
        <v>72.862732326016356</v>
      </c>
      <c r="W191" s="545">
        <f>M191+O191+S191</f>
        <v>0</v>
      </c>
    </row>
    <row r="192" spans="1:23" s="539" customFormat="1" ht="8.1" customHeight="1" x14ac:dyDescent="0.25">
      <c r="A192" s="745" t="s">
        <v>1023</v>
      </c>
      <c r="B192" s="746"/>
      <c r="C192" s="747" t="s">
        <v>1024</v>
      </c>
      <c r="D192" s="748"/>
      <c r="E192" s="748"/>
      <c r="F192" s="748"/>
      <c r="G192" s="749"/>
      <c r="H192" s="543" t="s">
        <v>807</v>
      </c>
      <c r="I192" s="545">
        <f>3.651+1.8-1.8/1.304</f>
        <v>4.0706319018404908</v>
      </c>
      <c r="J192" s="545">
        <f>3.748+2-2/1.304</f>
        <v>4.2142576687116566</v>
      </c>
      <c r="K192" s="545">
        <v>3.7480000000000002</v>
      </c>
      <c r="L192" s="545">
        <f>3.748*Ф17!E15</f>
        <v>3.9279040000000003</v>
      </c>
      <c r="M192" s="545"/>
      <c r="N192" s="545">
        <f>3.748*Ф17!E15*Ф17!F15</f>
        <v>4.1125154879999997</v>
      </c>
      <c r="O192" s="545"/>
      <c r="P192" s="545">
        <f>3.748*Ф17!E15*Ф17!F15*Ф17!G15</f>
        <v>4.3058037159359994</v>
      </c>
      <c r="Q192" s="545"/>
      <c r="R192" s="545">
        <f>3.748*Ф17!E15*Ф17!F15*Ф17!G15*Ф17!H15</f>
        <v>4.508176490584991</v>
      </c>
      <c r="S192" s="545"/>
      <c r="T192" s="545">
        <f>3.748*Ф17!E15*Ф17!F15*Ф17!G15*Ф17!H15*Ф17!I15</f>
        <v>4.7200607856424854</v>
      </c>
      <c r="U192" s="545"/>
      <c r="V192" s="545">
        <f t="shared" ref="V192:V197" si="161">L192+N192+P192+R192+T192</f>
        <v>21.574460480163474</v>
      </c>
      <c r="W192" s="545">
        <f>M192+O192+S192</f>
        <v>0</v>
      </c>
    </row>
    <row r="193" spans="1:23" s="539" customFormat="1" ht="8.1" customHeight="1" x14ac:dyDescent="0.25">
      <c r="A193" s="745" t="s">
        <v>1025</v>
      </c>
      <c r="B193" s="746"/>
      <c r="C193" s="747" t="s">
        <v>1026</v>
      </c>
      <c r="D193" s="748"/>
      <c r="E193" s="748"/>
      <c r="F193" s="748"/>
      <c r="G193" s="749"/>
      <c r="H193" s="543" t="s">
        <v>807</v>
      </c>
      <c r="I193" s="545">
        <f>I67+I121</f>
        <v>4.4909999999999997</v>
      </c>
      <c r="J193" s="545">
        <f t="shared" ref="J193" si="162">J67+J121</f>
        <v>6.8471333333333373</v>
      </c>
      <c r="K193" s="545">
        <f>K67+K121</f>
        <v>2.2014480000000023</v>
      </c>
      <c r="L193" s="545">
        <f t="shared" ref="L193:W193" si="163">L67+L121</f>
        <v>1.6071175040000045</v>
      </c>
      <c r="M193" s="545">
        <f t="shared" si="163"/>
        <v>0</v>
      </c>
      <c r="N193" s="545">
        <f t="shared" si="163"/>
        <v>1.5155520266880027</v>
      </c>
      <c r="O193" s="545">
        <f t="shared" si="163"/>
        <v>0</v>
      </c>
      <c r="P193" s="545">
        <f t="shared" si="163"/>
        <v>1.4290829719423375</v>
      </c>
      <c r="Q193" s="545">
        <f t="shared" si="163"/>
        <v>0</v>
      </c>
      <c r="R193" s="545">
        <f t="shared" si="163"/>
        <v>1.3479498716236276</v>
      </c>
      <c r="S193" s="545">
        <f t="shared" si="163"/>
        <v>0</v>
      </c>
      <c r="T193" s="545">
        <f t="shared" si="163"/>
        <v>1.2724035155899451</v>
      </c>
      <c r="U193" s="545">
        <f t="shared" si="163"/>
        <v>0</v>
      </c>
      <c r="V193" s="545">
        <f t="shared" si="163"/>
        <v>7.1721058898439178</v>
      </c>
      <c r="W193" s="545">
        <f t="shared" si="163"/>
        <v>0</v>
      </c>
    </row>
    <row r="194" spans="1:23" s="539" customFormat="1" ht="8.1" customHeight="1" x14ac:dyDescent="0.25">
      <c r="A194" s="745" t="s">
        <v>1027</v>
      </c>
      <c r="B194" s="746"/>
      <c r="C194" s="758" t="s">
        <v>1028</v>
      </c>
      <c r="D194" s="759"/>
      <c r="E194" s="759"/>
      <c r="F194" s="759"/>
      <c r="G194" s="760"/>
      <c r="H194" s="543" t="s">
        <v>807</v>
      </c>
      <c r="I194" s="545">
        <f t="shared" ref="I194:K194" si="164">I121</f>
        <v>4.3460000000000001</v>
      </c>
      <c r="J194" s="545">
        <f t="shared" si="164"/>
        <v>6.5781333333333372</v>
      </c>
      <c r="K194" s="545">
        <f t="shared" si="164"/>
        <v>1.9324480000000024</v>
      </c>
      <c r="L194" s="545">
        <f t="shared" ref="L194:U194" si="165">L121</f>
        <v>1.3252055040000046</v>
      </c>
      <c r="M194" s="545">
        <f t="shared" si="165"/>
        <v>0</v>
      </c>
      <c r="N194" s="545">
        <f t="shared" si="165"/>
        <v>1.2203901626880027</v>
      </c>
      <c r="O194" s="545">
        <f t="shared" si="165"/>
        <v>0</v>
      </c>
      <c r="P194" s="545">
        <f t="shared" si="165"/>
        <v>1.1200485003343374</v>
      </c>
      <c r="Q194" s="545">
        <f t="shared" si="165"/>
        <v>0</v>
      </c>
      <c r="R194" s="545">
        <f t="shared" si="165"/>
        <v>1.0243907798500516</v>
      </c>
      <c r="S194" s="545">
        <f t="shared" si="165"/>
        <v>0</v>
      </c>
      <c r="T194" s="545">
        <f t="shared" si="165"/>
        <v>0.93363714650301122</v>
      </c>
      <c r="U194" s="545">
        <f t="shared" si="165"/>
        <v>0</v>
      </c>
      <c r="V194" s="545">
        <f t="shared" si="161"/>
        <v>5.6236720933754079</v>
      </c>
      <c r="W194" s="545">
        <f t="shared" ref="W194" si="166">W121</f>
        <v>0</v>
      </c>
    </row>
    <row r="195" spans="1:23" s="539" customFormat="1" ht="8.1" customHeight="1" x14ac:dyDescent="0.25">
      <c r="A195" s="745" t="s">
        <v>1029</v>
      </c>
      <c r="B195" s="746"/>
      <c r="C195" s="747" t="s">
        <v>1030</v>
      </c>
      <c r="D195" s="748"/>
      <c r="E195" s="748"/>
      <c r="F195" s="748"/>
      <c r="G195" s="749"/>
      <c r="H195" s="543" t="s">
        <v>807</v>
      </c>
      <c r="I195" s="545">
        <f>4.622+0.505</f>
        <v>5.1269999999999998</v>
      </c>
      <c r="J195" s="545">
        <f t="shared" ref="J195:U195" si="167">J57*1.2</f>
        <v>15.9984</v>
      </c>
      <c r="K195" s="545">
        <f t="shared" si="167"/>
        <v>16.424399999999999</v>
      </c>
      <c r="L195" s="545">
        <f t="shared" si="167"/>
        <v>17.212771199999999</v>
      </c>
      <c r="M195" s="545">
        <f t="shared" si="167"/>
        <v>0</v>
      </c>
      <c r="N195" s="545">
        <f t="shared" si="167"/>
        <v>18.021771446399999</v>
      </c>
      <c r="O195" s="545">
        <f t="shared" si="167"/>
        <v>0</v>
      </c>
      <c r="P195" s="545">
        <f t="shared" si="167"/>
        <v>18.868794704380797</v>
      </c>
      <c r="Q195" s="545">
        <f t="shared" si="167"/>
        <v>0</v>
      </c>
      <c r="R195" s="545">
        <f t="shared" si="167"/>
        <v>19.755628055486692</v>
      </c>
      <c r="S195" s="545">
        <f t="shared" si="167"/>
        <v>0</v>
      </c>
      <c r="T195" s="545">
        <f t="shared" si="167"/>
        <v>20.684142574094569</v>
      </c>
      <c r="U195" s="545">
        <f t="shared" si="167"/>
        <v>0</v>
      </c>
      <c r="V195" s="545">
        <f t="shared" si="161"/>
        <v>94.543107980362052</v>
      </c>
      <c r="W195" s="545">
        <f>W57*1.2</f>
        <v>0</v>
      </c>
    </row>
    <row r="196" spans="1:23" s="539" customFormat="1" ht="8.1" customHeight="1" x14ac:dyDescent="0.25">
      <c r="A196" s="745" t="s">
        <v>1031</v>
      </c>
      <c r="B196" s="746"/>
      <c r="C196" s="747" t="s">
        <v>1032</v>
      </c>
      <c r="D196" s="748"/>
      <c r="E196" s="748"/>
      <c r="F196" s="748"/>
      <c r="G196" s="749"/>
      <c r="H196" s="543" t="s">
        <v>807</v>
      </c>
      <c r="I196" s="545">
        <v>24.689599999999977</v>
      </c>
      <c r="J196" s="545">
        <f t="shared" ref="J196:U196" si="168">J64*1.2</f>
        <v>7.7327999999999992</v>
      </c>
      <c r="K196" s="545">
        <f t="shared" si="168"/>
        <v>7.9391999999999996</v>
      </c>
      <c r="L196" s="545">
        <f t="shared" si="168"/>
        <v>8.3202815999999995</v>
      </c>
      <c r="M196" s="545">
        <f t="shared" si="168"/>
        <v>0</v>
      </c>
      <c r="N196" s="545">
        <f t="shared" si="168"/>
        <v>8.7113348351999988</v>
      </c>
      <c r="O196" s="545">
        <f t="shared" si="168"/>
        <v>0</v>
      </c>
      <c r="P196" s="545">
        <f t="shared" si="168"/>
        <v>9.1207675724543975</v>
      </c>
      <c r="Q196" s="545">
        <f t="shared" si="168"/>
        <v>0</v>
      </c>
      <c r="R196" s="545">
        <f t="shared" si="168"/>
        <v>9.5494436483597536</v>
      </c>
      <c r="S196" s="545">
        <f t="shared" si="168"/>
        <v>0</v>
      </c>
      <c r="T196" s="545">
        <f t="shared" si="168"/>
        <v>9.9982674998326608</v>
      </c>
      <c r="U196" s="545">
        <f t="shared" si="168"/>
        <v>0</v>
      </c>
      <c r="V196" s="545">
        <f t="shared" si="161"/>
        <v>45.70009515584681</v>
      </c>
      <c r="W196" s="545">
        <f>W64*1.2</f>
        <v>0</v>
      </c>
    </row>
    <row r="197" spans="1:23" s="539" customFormat="1" ht="8.1" customHeight="1" x14ac:dyDescent="0.25">
      <c r="A197" s="745" t="s">
        <v>1033</v>
      </c>
      <c r="B197" s="746"/>
      <c r="C197" s="747" t="s">
        <v>1034</v>
      </c>
      <c r="D197" s="748"/>
      <c r="E197" s="748"/>
      <c r="F197" s="748"/>
      <c r="G197" s="749"/>
      <c r="H197" s="543" t="s">
        <v>807</v>
      </c>
      <c r="I197" s="545">
        <f t="shared" ref="I197:U197" si="169">I72*1.2</f>
        <v>25.959599999999998</v>
      </c>
      <c r="J197" s="545">
        <f t="shared" si="169"/>
        <v>20.5152</v>
      </c>
      <c r="K197" s="545">
        <f t="shared" si="169"/>
        <v>20.5152</v>
      </c>
      <c r="L197" s="545">
        <f t="shared" si="169"/>
        <v>21.499929599999998</v>
      </c>
      <c r="M197" s="545">
        <f t="shared" si="169"/>
        <v>0</v>
      </c>
      <c r="N197" s="545">
        <f t="shared" si="169"/>
        <v>22.510426291199995</v>
      </c>
      <c r="O197" s="545">
        <f t="shared" si="169"/>
        <v>0</v>
      </c>
      <c r="P197" s="545">
        <f t="shared" si="169"/>
        <v>23.568416326886396</v>
      </c>
      <c r="Q197" s="545">
        <f t="shared" si="169"/>
        <v>0</v>
      </c>
      <c r="R197" s="545">
        <f t="shared" si="169"/>
        <v>24.676131894250055</v>
      </c>
      <c r="S197" s="545">
        <f t="shared" si="169"/>
        <v>0</v>
      </c>
      <c r="T197" s="545">
        <f t="shared" si="169"/>
        <v>25.835910093279804</v>
      </c>
      <c r="U197" s="545">
        <f t="shared" si="169"/>
        <v>0</v>
      </c>
      <c r="V197" s="545">
        <f t="shared" si="161"/>
        <v>118.09081420561625</v>
      </c>
      <c r="W197" s="545">
        <f>W72*1.2</f>
        <v>0</v>
      </c>
    </row>
    <row r="198" spans="1:23" s="539" customFormat="1" ht="16.5" customHeight="1" x14ac:dyDescent="0.25">
      <c r="A198" s="726" t="s">
        <v>1035</v>
      </c>
      <c r="B198" s="727"/>
      <c r="C198" s="728" t="s">
        <v>1036</v>
      </c>
      <c r="D198" s="729"/>
      <c r="E198" s="729"/>
      <c r="F198" s="729"/>
      <c r="G198" s="730"/>
      <c r="H198" s="540" t="s">
        <v>807</v>
      </c>
      <c r="I198" s="542"/>
      <c r="J198" s="542"/>
      <c r="K198" s="542"/>
      <c r="L198" s="542"/>
      <c r="M198" s="542"/>
      <c r="N198" s="542"/>
      <c r="O198" s="542"/>
      <c r="P198" s="542"/>
      <c r="Q198" s="542"/>
      <c r="R198" s="542"/>
      <c r="S198" s="542"/>
      <c r="T198" s="542"/>
      <c r="U198" s="542"/>
      <c r="V198" s="542"/>
      <c r="W198" s="540"/>
    </row>
    <row r="199" spans="1:23" s="539" customFormat="1" ht="8.1" customHeight="1" x14ac:dyDescent="0.25">
      <c r="A199" s="745" t="s">
        <v>1037</v>
      </c>
      <c r="B199" s="746"/>
      <c r="C199" s="747" t="s">
        <v>1038</v>
      </c>
      <c r="D199" s="748"/>
      <c r="E199" s="748"/>
      <c r="F199" s="748"/>
      <c r="G199" s="749"/>
      <c r="H199" s="543" t="s">
        <v>807</v>
      </c>
      <c r="I199" s="544">
        <f t="shared" ref="I199:W199" si="170">(I58+I71+I73)*1.2</f>
        <v>4.7351999999999999</v>
      </c>
      <c r="J199" s="544">
        <f t="shared" si="170"/>
        <v>9.1427999999999976</v>
      </c>
      <c r="K199" s="544">
        <f t="shared" si="170"/>
        <v>9.3864000000000001</v>
      </c>
      <c r="L199" s="544">
        <f t="shared" si="170"/>
        <v>9.8369472000000009</v>
      </c>
      <c r="M199" s="544">
        <f t="shared" si="170"/>
        <v>0</v>
      </c>
      <c r="N199" s="544">
        <f t="shared" si="170"/>
        <v>10.2992837184</v>
      </c>
      <c r="O199" s="544">
        <f t="shared" si="170"/>
        <v>0</v>
      </c>
      <c r="P199" s="544">
        <f t="shared" si="170"/>
        <v>10.783350053164799</v>
      </c>
      <c r="Q199" s="544">
        <f t="shared" si="170"/>
        <v>0</v>
      </c>
      <c r="R199" s="544">
        <f t="shared" si="170"/>
        <v>11.290167505663545</v>
      </c>
      <c r="S199" s="544">
        <f t="shared" si="170"/>
        <v>0</v>
      </c>
      <c r="T199" s="544">
        <f t="shared" si="170"/>
        <v>11.82080537842973</v>
      </c>
      <c r="U199" s="544">
        <f t="shared" si="170"/>
        <v>0</v>
      </c>
      <c r="V199" s="544">
        <f t="shared" si="170"/>
        <v>54.030553855658077</v>
      </c>
      <c r="W199" s="544">
        <f t="shared" si="170"/>
        <v>0</v>
      </c>
    </row>
    <row r="200" spans="1:23" s="539" customFormat="1" ht="9" customHeight="1" x14ac:dyDescent="0.25">
      <c r="A200" s="726" t="s">
        <v>1039</v>
      </c>
      <c r="B200" s="727"/>
      <c r="C200" s="795" t="s">
        <v>1040</v>
      </c>
      <c r="D200" s="796"/>
      <c r="E200" s="796"/>
      <c r="F200" s="796"/>
      <c r="G200" s="797"/>
      <c r="H200" s="540" t="s">
        <v>807</v>
      </c>
      <c r="I200" s="542"/>
      <c r="J200" s="542"/>
      <c r="K200" s="542"/>
      <c r="L200" s="542"/>
      <c r="M200" s="542"/>
      <c r="N200" s="542"/>
      <c r="O200" s="542"/>
      <c r="P200" s="542"/>
      <c r="Q200" s="542"/>
      <c r="R200" s="542"/>
      <c r="S200" s="542"/>
      <c r="T200" s="542"/>
      <c r="U200" s="542"/>
      <c r="V200" s="542"/>
      <c r="W200" s="540"/>
    </row>
    <row r="201" spans="1:23" s="539" customFormat="1" ht="8.1" customHeight="1" x14ac:dyDescent="0.25">
      <c r="A201" s="726" t="s">
        <v>1041</v>
      </c>
      <c r="B201" s="727"/>
      <c r="C201" s="728" t="s">
        <v>1042</v>
      </c>
      <c r="D201" s="729"/>
      <c r="E201" s="729"/>
      <c r="F201" s="729"/>
      <c r="G201" s="730"/>
      <c r="H201" s="540" t="s">
        <v>807</v>
      </c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  <c r="S201" s="542"/>
      <c r="T201" s="542"/>
      <c r="U201" s="542"/>
      <c r="V201" s="542"/>
      <c r="W201" s="540"/>
    </row>
    <row r="202" spans="1:23" s="539" customFormat="1" ht="8.1" customHeight="1" x14ac:dyDescent="0.25">
      <c r="A202" s="726" t="s">
        <v>1043</v>
      </c>
      <c r="B202" s="727"/>
      <c r="C202" s="728" t="s">
        <v>1044</v>
      </c>
      <c r="D202" s="729"/>
      <c r="E202" s="729"/>
      <c r="F202" s="729"/>
      <c r="G202" s="730"/>
      <c r="H202" s="540" t="s">
        <v>807</v>
      </c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  <c r="S202" s="542"/>
      <c r="T202" s="542"/>
      <c r="U202" s="542"/>
      <c r="V202" s="542"/>
      <c r="W202" s="540"/>
    </row>
    <row r="203" spans="1:23" s="539" customFormat="1" ht="16.5" customHeight="1" x14ac:dyDescent="0.25">
      <c r="A203" s="726" t="s">
        <v>1045</v>
      </c>
      <c r="B203" s="727"/>
      <c r="C203" s="731" t="s">
        <v>1046</v>
      </c>
      <c r="D203" s="732"/>
      <c r="E203" s="732"/>
      <c r="F203" s="732"/>
      <c r="G203" s="733"/>
      <c r="H203" s="540" t="s">
        <v>807</v>
      </c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0"/>
    </row>
    <row r="204" spans="1:23" s="539" customFormat="1" ht="8.1" customHeight="1" x14ac:dyDescent="0.25">
      <c r="A204" s="726" t="s">
        <v>1047</v>
      </c>
      <c r="B204" s="727"/>
      <c r="C204" s="742" t="s">
        <v>1048</v>
      </c>
      <c r="D204" s="743"/>
      <c r="E204" s="743"/>
      <c r="F204" s="743"/>
      <c r="G204" s="744"/>
      <c r="H204" s="540" t="s">
        <v>807</v>
      </c>
      <c r="I204" s="542"/>
      <c r="J204" s="542"/>
      <c r="K204" s="542"/>
      <c r="L204" s="542"/>
      <c r="M204" s="542"/>
      <c r="N204" s="542"/>
      <c r="O204" s="542"/>
      <c r="P204" s="542"/>
      <c r="Q204" s="542"/>
      <c r="R204" s="542"/>
      <c r="S204" s="542"/>
      <c r="T204" s="542"/>
      <c r="U204" s="542"/>
      <c r="V204" s="542"/>
      <c r="W204" s="540"/>
    </row>
    <row r="205" spans="1:23" s="539" customFormat="1" ht="8.1" customHeight="1" x14ac:dyDescent="0.25">
      <c r="A205" s="726" t="s">
        <v>1049</v>
      </c>
      <c r="B205" s="727"/>
      <c r="C205" s="742" t="s">
        <v>1050</v>
      </c>
      <c r="D205" s="743"/>
      <c r="E205" s="743"/>
      <c r="F205" s="743"/>
      <c r="G205" s="744"/>
      <c r="H205" s="540" t="s">
        <v>807</v>
      </c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  <c r="S205" s="542"/>
      <c r="T205" s="542"/>
      <c r="U205" s="542"/>
      <c r="V205" s="542"/>
      <c r="W205" s="540"/>
    </row>
    <row r="206" spans="1:23" s="539" customFormat="1" ht="8.1" customHeight="1" x14ac:dyDescent="0.25">
      <c r="A206" s="726" t="s">
        <v>1051</v>
      </c>
      <c r="B206" s="727"/>
      <c r="C206" s="728" t="s">
        <v>1052</v>
      </c>
      <c r="D206" s="729"/>
      <c r="E206" s="729"/>
      <c r="F206" s="729"/>
      <c r="G206" s="730"/>
      <c r="H206" s="540" t="s">
        <v>807</v>
      </c>
      <c r="I206" s="542"/>
      <c r="J206" s="542"/>
      <c r="K206" s="542"/>
      <c r="L206" s="542"/>
      <c r="M206" s="542"/>
      <c r="N206" s="542"/>
      <c r="O206" s="542"/>
      <c r="P206" s="542"/>
      <c r="Q206" s="542"/>
      <c r="R206" s="542"/>
      <c r="S206" s="542"/>
      <c r="T206" s="542"/>
      <c r="U206" s="542"/>
      <c r="V206" s="542"/>
      <c r="W206" s="540"/>
    </row>
    <row r="207" spans="1:23" s="539" customFormat="1" x14ac:dyDescent="0.25">
      <c r="A207" s="750" t="s">
        <v>1053</v>
      </c>
      <c r="B207" s="751"/>
      <c r="C207" s="752" t="s">
        <v>1054</v>
      </c>
      <c r="D207" s="753"/>
      <c r="E207" s="753"/>
      <c r="F207" s="753"/>
      <c r="G207" s="754"/>
      <c r="H207" s="548" t="s">
        <v>807</v>
      </c>
      <c r="I207" s="550">
        <f t="shared" ref="I207" si="171">I208</f>
        <v>43.124600000000001</v>
      </c>
      <c r="J207" s="550">
        <f t="shared" ref="J207:W207" si="172">J208</f>
        <v>41.061039999999991</v>
      </c>
      <c r="K207" s="550">
        <f t="shared" si="172"/>
        <v>13.030799999999999</v>
      </c>
      <c r="L207" s="550">
        <f>L208</f>
        <v>20.577676799999999</v>
      </c>
      <c r="M207" s="550">
        <f t="shared" si="172"/>
        <v>0</v>
      </c>
      <c r="N207" s="550">
        <f t="shared" si="172"/>
        <v>22.547731209599998</v>
      </c>
      <c r="O207" s="550">
        <f t="shared" si="172"/>
        <v>0</v>
      </c>
      <c r="P207" s="550">
        <f t="shared" si="172"/>
        <v>24.552889776451202</v>
      </c>
      <c r="Q207" s="550">
        <f t="shared" si="172"/>
        <v>0</v>
      </c>
      <c r="R207" s="550">
        <f t="shared" si="172"/>
        <v>26.597443595944405</v>
      </c>
      <c r="S207" s="550">
        <f t="shared" si="172"/>
        <v>0</v>
      </c>
      <c r="T207" s="550">
        <f t="shared" si="172"/>
        <v>28.680916244953792</v>
      </c>
      <c r="U207" s="550">
        <f t="shared" si="172"/>
        <v>0</v>
      </c>
      <c r="V207" s="550">
        <f t="shared" si="172"/>
        <v>122.95665762694939</v>
      </c>
      <c r="W207" s="550">
        <f t="shared" si="172"/>
        <v>0</v>
      </c>
    </row>
    <row r="208" spans="1:23" s="539" customFormat="1" ht="8.1" customHeight="1" x14ac:dyDescent="0.25">
      <c r="A208" s="745" t="s">
        <v>1055</v>
      </c>
      <c r="B208" s="746"/>
      <c r="C208" s="747" t="s">
        <v>1056</v>
      </c>
      <c r="D208" s="748"/>
      <c r="E208" s="748"/>
      <c r="F208" s="748"/>
      <c r="G208" s="749"/>
      <c r="H208" s="543" t="s">
        <v>807</v>
      </c>
      <c r="I208" s="545">
        <f t="shared" ref="I208:K208" si="173">SUM(I209:I214)</f>
        <v>43.124600000000001</v>
      </c>
      <c r="J208" s="545">
        <f t="shared" si="173"/>
        <v>41.061039999999991</v>
      </c>
      <c r="K208" s="545">
        <f t="shared" si="173"/>
        <v>13.030799999999999</v>
      </c>
      <c r="L208" s="545">
        <f t="shared" ref="L208:U208" si="174">SUM(L209:L214)</f>
        <v>20.577676799999999</v>
      </c>
      <c r="M208" s="545">
        <f t="shared" si="174"/>
        <v>0</v>
      </c>
      <c r="N208" s="545">
        <f t="shared" si="174"/>
        <v>22.547731209599998</v>
      </c>
      <c r="O208" s="545">
        <f t="shared" si="174"/>
        <v>0</v>
      </c>
      <c r="P208" s="545">
        <f t="shared" si="174"/>
        <v>24.552889776451202</v>
      </c>
      <c r="Q208" s="545">
        <f t="shared" si="174"/>
        <v>0</v>
      </c>
      <c r="R208" s="545">
        <f t="shared" si="174"/>
        <v>26.597443595944405</v>
      </c>
      <c r="S208" s="545">
        <f t="shared" si="174"/>
        <v>0</v>
      </c>
      <c r="T208" s="545">
        <f t="shared" si="174"/>
        <v>28.680916244953792</v>
      </c>
      <c r="U208" s="545">
        <f t="shared" si="174"/>
        <v>0</v>
      </c>
      <c r="V208" s="545">
        <f>SUM(V209:V214)</f>
        <v>122.95665762694939</v>
      </c>
      <c r="W208" s="545">
        <f t="shared" ref="W208" si="175">SUM(W209:W214)</f>
        <v>0</v>
      </c>
    </row>
    <row r="209" spans="1:23" s="539" customFormat="1" ht="8.1" customHeight="1" x14ac:dyDescent="0.25">
      <c r="A209" s="745" t="s">
        <v>1057</v>
      </c>
      <c r="B209" s="746"/>
      <c r="C209" s="758" t="s">
        <v>1058</v>
      </c>
      <c r="D209" s="759"/>
      <c r="E209" s="759"/>
      <c r="F209" s="759"/>
      <c r="G209" s="760"/>
      <c r="H209" s="543" t="s">
        <v>807</v>
      </c>
      <c r="I209" s="545">
        <f t="shared" ref="I209:K209" si="176">I369*1.2</f>
        <v>5.9735999999999994</v>
      </c>
      <c r="J209" s="545">
        <f t="shared" si="176"/>
        <v>12.072000000000001</v>
      </c>
      <c r="K209" s="545">
        <f t="shared" si="176"/>
        <v>13.030799999999999</v>
      </c>
      <c r="L209" s="545">
        <f t="shared" ref="L209:U209" si="177">(L152+L66)*1.2</f>
        <v>16.3776768</v>
      </c>
      <c r="M209" s="545">
        <f t="shared" si="177"/>
        <v>0</v>
      </c>
      <c r="N209" s="545">
        <f t="shared" si="177"/>
        <v>17.1477312096</v>
      </c>
      <c r="O209" s="545">
        <f t="shared" si="177"/>
        <v>0</v>
      </c>
      <c r="P209" s="545">
        <f t="shared" si="177"/>
        <v>17.952889776451201</v>
      </c>
      <c r="Q209" s="545">
        <f t="shared" si="177"/>
        <v>0</v>
      </c>
      <c r="R209" s="545">
        <f t="shared" si="177"/>
        <v>18.797443595944404</v>
      </c>
      <c r="S209" s="545">
        <f t="shared" si="177"/>
        <v>0</v>
      </c>
      <c r="T209" s="545">
        <f t="shared" si="177"/>
        <v>19.680916244953792</v>
      </c>
      <c r="U209" s="545">
        <f t="shared" si="177"/>
        <v>0</v>
      </c>
      <c r="V209" s="545">
        <f t="shared" ref="V209:V212" si="178">L209+N209+P209+R209+T209</f>
        <v>89.956657626949394</v>
      </c>
      <c r="W209" s="545">
        <f>M209+O209+S209</f>
        <v>0</v>
      </c>
    </row>
    <row r="210" spans="1:23" s="539" customFormat="1" ht="8.1" customHeight="1" x14ac:dyDescent="0.25">
      <c r="A210" s="745" t="s">
        <v>1059</v>
      </c>
      <c r="B210" s="746"/>
      <c r="C210" s="758" t="s">
        <v>1060</v>
      </c>
      <c r="D210" s="759"/>
      <c r="E210" s="759"/>
      <c r="F210" s="759"/>
      <c r="G210" s="760"/>
      <c r="H210" s="543" t="s">
        <v>807</v>
      </c>
      <c r="I210" s="545">
        <v>25.795999999999999</v>
      </c>
      <c r="J210" s="545">
        <f>J28*1.2</f>
        <v>24.038</v>
      </c>
      <c r="K210" s="545">
        <f>K28*1.2</f>
        <v>0</v>
      </c>
      <c r="L210" s="545">
        <f>L43*1.2</f>
        <v>4.2</v>
      </c>
      <c r="M210" s="545">
        <f t="shared" ref="M210:U210" si="179">M43*1.2</f>
        <v>0</v>
      </c>
      <c r="N210" s="545">
        <f t="shared" si="179"/>
        <v>5.3999999999999995</v>
      </c>
      <c r="O210" s="545">
        <f t="shared" si="179"/>
        <v>0</v>
      </c>
      <c r="P210" s="545">
        <f t="shared" si="179"/>
        <v>6.6</v>
      </c>
      <c r="Q210" s="545">
        <f t="shared" si="179"/>
        <v>0</v>
      </c>
      <c r="R210" s="545">
        <f t="shared" si="179"/>
        <v>7.8</v>
      </c>
      <c r="S210" s="545">
        <f t="shared" si="179"/>
        <v>0</v>
      </c>
      <c r="T210" s="545">
        <f t="shared" si="179"/>
        <v>9</v>
      </c>
      <c r="U210" s="545">
        <f t="shared" si="179"/>
        <v>0</v>
      </c>
      <c r="V210" s="545">
        <f t="shared" si="178"/>
        <v>33</v>
      </c>
      <c r="W210" s="545">
        <f>M210+O210+S210</f>
        <v>0</v>
      </c>
    </row>
    <row r="211" spans="1:23" s="539" customFormat="1" ht="8.1" customHeight="1" x14ac:dyDescent="0.25">
      <c r="A211" s="726" t="s">
        <v>1061</v>
      </c>
      <c r="B211" s="727"/>
      <c r="C211" s="731" t="s">
        <v>1062</v>
      </c>
      <c r="D211" s="732"/>
      <c r="E211" s="732"/>
      <c r="F211" s="732"/>
      <c r="G211" s="733"/>
      <c r="H211" s="540" t="s">
        <v>807</v>
      </c>
      <c r="I211" s="558"/>
      <c r="J211" s="558"/>
      <c r="K211" s="558"/>
      <c r="L211" s="558"/>
      <c r="M211" s="558"/>
      <c r="N211" s="558"/>
      <c r="O211" s="558"/>
      <c r="P211" s="558"/>
      <c r="Q211" s="558"/>
      <c r="R211" s="558"/>
      <c r="S211" s="558"/>
      <c r="T211" s="558"/>
      <c r="U211" s="558"/>
      <c r="V211" s="558"/>
      <c r="W211" s="555"/>
    </row>
    <row r="212" spans="1:23" s="539" customFormat="1" ht="8.1" customHeight="1" x14ac:dyDescent="0.25">
      <c r="A212" s="745" t="s">
        <v>1063</v>
      </c>
      <c r="B212" s="746"/>
      <c r="C212" s="758" t="s">
        <v>1064</v>
      </c>
      <c r="D212" s="759"/>
      <c r="E212" s="759"/>
      <c r="F212" s="759"/>
      <c r="G212" s="760"/>
      <c r="H212" s="543" t="s">
        <v>807</v>
      </c>
      <c r="I212" s="545">
        <v>11.355</v>
      </c>
      <c r="J212" s="545">
        <v>4.9510399999999954</v>
      </c>
      <c r="K212" s="545">
        <f t="shared" ref="K212:U212" si="180">K120*0.8*1.2</f>
        <v>0</v>
      </c>
      <c r="L212" s="545">
        <f t="shared" si="180"/>
        <v>0</v>
      </c>
      <c r="M212" s="545">
        <f t="shared" si="180"/>
        <v>0</v>
      </c>
      <c r="N212" s="545">
        <f t="shared" si="180"/>
        <v>0</v>
      </c>
      <c r="O212" s="545">
        <f t="shared" si="180"/>
        <v>0</v>
      </c>
      <c r="P212" s="545">
        <f t="shared" si="180"/>
        <v>0</v>
      </c>
      <c r="Q212" s="545">
        <f t="shared" si="180"/>
        <v>0</v>
      </c>
      <c r="R212" s="545">
        <f t="shared" si="180"/>
        <v>0</v>
      </c>
      <c r="S212" s="545">
        <f t="shared" si="180"/>
        <v>0</v>
      </c>
      <c r="T212" s="545">
        <f t="shared" si="180"/>
        <v>0</v>
      </c>
      <c r="U212" s="545">
        <f t="shared" si="180"/>
        <v>0</v>
      </c>
      <c r="V212" s="545">
        <f t="shared" si="178"/>
        <v>0</v>
      </c>
      <c r="W212" s="545">
        <f>M212+O212+S212</f>
        <v>0</v>
      </c>
    </row>
    <row r="213" spans="1:23" s="539" customFormat="1" ht="8.1" customHeight="1" x14ac:dyDescent="0.25">
      <c r="A213" s="726" t="s">
        <v>1065</v>
      </c>
      <c r="B213" s="727"/>
      <c r="C213" s="731" t="s">
        <v>1066</v>
      </c>
      <c r="D213" s="732"/>
      <c r="E213" s="732"/>
      <c r="F213" s="732"/>
      <c r="G213" s="733"/>
      <c r="H213" s="540" t="s">
        <v>807</v>
      </c>
      <c r="I213" s="558"/>
      <c r="J213" s="558"/>
      <c r="K213" s="558"/>
      <c r="L213" s="558"/>
      <c r="M213" s="558"/>
      <c r="N213" s="558"/>
      <c r="O213" s="558"/>
      <c r="P213" s="558"/>
      <c r="Q213" s="558"/>
      <c r="R213" s="558"/>
      <c r="S213" s="558"/>
      <c r="T213" s="558"/>
      <c r="U213" s="558"/>
      <c r="V213" s="558"/>
      <c r="W213" s="555"/>
    </row>
    <row r="214" spans="1:23" s="539" customFormat="1" ht="8.1" customHeight="1" x14ac:dyDescent="0.25">
      <c r="A214" s="745" t="s">
        <v>1067</v>
      </c>
      <c r="B214" s="746"/>
      <c r="C214" s="758" t="s">
        <v>1068</v>
      </c>
      <c r="D214" s="759"/>
      <c r="E214" s="759"/>
      <c r="F214" s="759"/>
      <c r="G214" s="760"/>
      <c r="H214" s="543" t="s">
        <v>807</v>
      </c>
      <c r="I214" s="545"/>
      <c r="J214" s="545"/>
      <c r="K214" s="545"/>
      <c r="L214" s="545"/>
      <c r="M214" s="545"/>
      <c r="N214" s="545"/>
      <c r="O214" s="545"/>
      <c r="P214" s="545"/>
      <c r="Q214" s="545"/>
      <c r="R214" s="545"/>
      <c r="S214" s="545"/>
      <c r="T214" s="545"/>
      <c r="U214" s="545"/>
      <c r="V214" s="545"/>
      <c r="W214" s="564"/>
    </row>
    <row r="215" spans="1:23" s="539" customFormat="1" ht="8.1" customHeight="1" x14ac:dyDescent="0.25">
      <c r="A215" s="726" t="s">
        <v>1069</v>
      </c>
      <c r="B215" s="727"/>
      <c r="C215" s="728" t="s">
        <v>1070</v>
      </c>
      <c r="D215" s="729"/>
      <c r="E215" s="729"/>
      <c r="F215" s="729"/>
      <c r="G215" s="730"/>
      <c r="H215" s="540" t="s">
        <v>807</v>
      </c>
      <c r="I215" s="542"/>
      <c r="J215" s="542"/>
      <c r="K215" s="542"/>
      <c r="L215" s="542"/>
      <c r="M215" s="542"/>
      <c r="N215" s="542"/>
      <c r="O215" s="542"/>
      <c r="P215" s="542"/>
      <c r="Q215" s="542"/>
      <c r="R215" s="542"/>
      <c r="S215" s="542"/>
      <c r="T215" s="542"/>
      <c r="U215" s="542"/>
      <c r="V215" s="542"/>
      <c r="W215" s="540"/>
    </row>
    <row r="216" spans="1:23" s="539" customFormat="1" ht="8.1" customHeight="1" x14ac:dyDescent="0.25">
      <c r="A216" s="726" t="s">
        <v>1071</v>
      </c>
      <c r="B216" s="727"/>
      <c r="C216" s="728" t="s">
        <v>1072</v>
      </c>
      <c r="D216" s="729"/>
      <c r="E216" s="729"/>
      <c r="F216" s="729"/>
      <c r="G216" s="730"/>
      <c r="H216" s="540" t="s">
        <v>807</v>
      </c>
      <c r="I216" s="542"/>
      <c r="J216" s="542"/>
      <c r="K216" s="542"/>
      <c r="L216" s="542"/>
      <c r="M216" s="542"/>
      <c r="N216" s="542"/>
      <c r="O216" s="542"/>
      <c r="P216" s="542"/>
      <c r="Q216" s="542"/>
      <c r="R216" s="542"/>
      <c r="S216" s="542"/>
      <c r="T216" s="542"/>
      <c r="U216" s="542"/>
      <c r="V216" s="542"/>
      <c r="W216" s="540"/>
    </row>
    <row r="217" spans="1:23" s="539" customFormat="1" ht="8.1" customHeight="1" x14ac:dyDescent="0.25">
      <c r="A217" s="726" t="s">
        <v>1073</v>
      </c>
      <c r="B217" s="727"/>
      <c r="C217" s="728" t="s">
        <v>891</v>
      </c>
      <c r="D217" s="729"/>
      <c r="E217" s="729"/>
      <c r="F217" s="729"/>
      <c r="G217" s="730"/>
      <c r="H217" s="540" t="s">
        <v>121</v>
      </c>
      <c r="I217" s="542"/>
      <c r="J217" s="542"/>
      <c r="K217" s="542"/>
      <c r="L217" s="542"/>
      <c r="M217" s="542"/>
      <c r="N217" s="542"/>
      <c r="O217" s="542"/>
      <c r="P217" s="542"/>
      <c r="Q217" s="542"/>
      <c r="R217" s="542"/>
      <c r="S217" s="542"/>
      <c r="T217" s="542"/>
      <c r="U217" s="542"/>
      <c r="V217" s="542"/>
      <c r="W217" s="540"/>
    </row>
    <row r="218" spans="1:23" s="539" customFormat="1" ht="16.5" customHeight="1" x14ac:dyDescent="0.25">
      <c r="A218" s="726" t="s">
        <v>1074</v>
      </c>
      <c r="B218" s="727"/>
      <c r="C218" s="731" t="s">
        <v>1075</v>
      </c>
      <c r="D218" s="732"/>
      <c r="E218" s="732"/>
      <c r="F218" s="732"/>
      <c r="G218" s="733"/>
      <c r="H218" s="540" t="s">
        <v>807</v>
      </c>
      <c r="I218" s="542"/>
      <c r="J218" s="542"/>
      <c r="K218" s="542"/>
      <c r="L218" s="542"/>
      <c r="M218" s="542"/>
      <c r="N218" s="542"/>
      <c r="O218" s="542"/>
      <c r="P218" s="542"/>
      <c r="Q218" s="542"/>
      <c r="R218" s="542"/>
      <c r="S218" s="542"/>
      <c r="T218" s="542"/>
      <c r="U218" s="542"/>
      <c r="V218" s="542"/>
      <c r="W218" s="540"/>
    </row>
    <row r="219" spans="1:23" s="539" customFormat="1" x14ac:dyDescent="0.25">
      <c r="A219" s="750" t="s">
        <v>1076</v>
      </c>
      <c r="B219" s="751"/>
      <c r="C219" s="752" t="s">
        <v>1077</v>
      </c>
      <c r="D219" s="753"/>
      <c r="E219" s="753"/>
      <c r="F219" s="753"/>
      <c r="G219" s="754"/>
      <c r="H219" s="548" t="s">
        <v>807</v>
      </c>
      <c r="I219" s="549"/>
      <c r="J219" s="549"/>
      <c r="K219" s="549"/>
      <c r="L219" s="549"/>
      <c r="M219" s="549"/>
      <c r="N219" s="549"/>
      <c r="O219" s="549"/>
      <c r="P219" s="549"/>
      <c r="Q219" s="549"/>
      <c r="R219" s="549"/>
      <c r="S219" s="549"/>
      <c r="T219" s="549"/>
      <c r="U219" s="549"/>
      <c r="V219" s="549"/>
      <c r="W219" s="548"/>
    </row>
    <row r="220" spans="1:23" s="539" customFormat="1" ht="8.1" customHeight="1" x14ac:dyDescent="0.25">
      <c r="A220" s="726" t="s">
        <v>1078</v>
      </c>
      <c r="B220" s="727"/>
      <c r="C220" s="728" t="s">
        <v>1079</v>
      </c>
      <c r="D220" s="729"/>
      <c r="E220" s="729"/>
      <c r="F220" s="729"/>
      <c r="G220" s="730"/>
      <c r="H220" s="540" t="s">
        <v>807</v>
      </c>
      <c r="I220" s="542"/>
      <c r="J220" s="542"/>
      <c r="K220" s="542"/>
      <c r="L220" s="542"/>
      <c r="M220" s="542"/>
      <c r="N220" s="542"/>
      <c r="O220" s="542"/>
      <c r="P220" s="542"/>
      <c r="Q220" s="542"/>
      <c r="R220" s="542"/>
      <c r="S220" s="542"/>
      <c r="T220" s="542"/>
      <c r="U220" s="542"/>
      <c r="V220" s="542"/>
      <c r="W220" s="540"/>
    </row>
    <row r="221" spans="1:23" s="539" customFormat="1" ht="8.1" customHeight="1" x14ac:dyDescent="0.25">
      <c r="A221" s="726" t="s">
        <v>1080</v>
      </c>
      <c r="B221" s="727"/>
      <c r="C221" s="728" t="s">
        <v>1081</v>
      </c>
      <c r="D221" s="729"/>
      <c r="E221" s="729"/>
      <c r="F221" s="729"/>
      <c r="G221" s="730"/>
      <c r="H221" s="540" t="s">
        <v>807</v>
      </c>
      <c r="I221" s="542"/>
      <c r="J221" s="542"/>
      <c r="K221" s="542"/>
      <c r="L221" s="542"/>
      <c r="M221" s="542"/>
      <c r="N221" s="542"/>
      <c r="O221" s="542"/>
      <c r="P221" s="542"/>
      <c r="Q221" s="542"/>
      <c r="R221" s="542"/>
      <c r="S221" s="542"/>
      <c r="T221" s="542"/>
      <c r="U221" s="542"/>
      <c r="V221" s="542"/>
      <c r="W221" s="540"/>
    </row>
    <row r="222" spans="1:23" s="539" customFormat="1" ht="8.1" customHeight="1" x14ac:dyDescent="0.25">
      <c r="A222" s="726" t="s">
        <v>1082</v>
      </c>
      <c r="B222" s="727"/>
      <c r="C222" s="731" t="s">
        <v>1083</v>
      </c>
      <c r="D222" s="732"/>
      <c r="E222" s="732"/>
      <c r="F222" s="732"/>
      <c r="G222" s="733"/>
      <c r="H222" s="540" t="s">
        <v>807</v>
      </c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  <c r="S222" s="542"/>
      <c r="T222" s="542"/>
      <c r="U222" s="542"/>
      <c r="V222" s="542"/>
      <c r="W222" s="540"/>
    </row>
    <row r="223" spans="1:23" s="539" customFormat="1" ht="8.1" customHeight="1" x14ac:dyDescent="0.25">
      <c r="A223" s="726" t="s">
        <v>1084</v>
      </c>
      <c r="B223" s="727"/>
      <c r="C223" s="731" t="s">
        <v>1085</v>
      </c>
      <c r="D223" s="732"/>
      <c r="E223" s="732"/>
      <c r="F223" s="732"/>
      <c r="G223" s="733"/>
      <c r="H223" s="540" t="s">
        <v>807</v>
      </c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  <c r="S223" s="542"/>
      <c r="T223" s="542"/>
      <c r="U223" s="542"/>
      <c r="V223" s="542"/>
      <c r="W223" s="540"/>
    </row>
    <row r="224" spans="1:23" s="539" customFormat="1" ht="8.1" customHeight="1" x14ac:dyDescent="0.25">
      <c r="A224" s="726" t="s">
        <v>1086</v>
      </c>
      <c r="B224" s="727"/>
      <c r="C224" s="731" t="s">
        <v>1087</v>
      </c>
      <c r="D224" s="732"/>
      <c r="E224" s="732"/>
      <c r="F224" s="732"/>
      <c r="G224" s="733"/>
      <c r="H224" s="540" t="s">
        <v>807</v>
      </c>
      <c r="I224" s="542"/>
      <c r="J224" s="542"/>
      <c r="K224" s="542"/>
      <c r="L224" s="542"/>
      <c r="M224" s="542"/>
      <c r="N224" s="542"/>
      <c r="O224" s="542"/>
      <c r="P224" s="542"/>
      <c r="Q224" s="542"/>
      <c r="R224" s="542"/>
      <c r="S224" s="542"/>
      <c r="T224" s="542"/>
      <c r="U224" s="542"/>
      <c r="V224" s="542"/>
      <c r="W224" s="540"/>
    </row>
    <row r="225" spans="1:23" s="539" customFormat="1" ht="8.1" customHeight="1" x14ac:dyDescent="0.25">
      <c r="A225" s="726" t="s">
        <v>1088</v>
      </c>
      <c r="B225" s="727"/>
      <c r="C225" s="728" t="s">
        <v>1089</v>
      </c>
      <c r="D225" s="729"/>
      <c r="E225" s="729"/>
      <c r="F225" s="729"/>
      <c r="G225" s="730"/>
      <c r="H225" s="540" t="s">
        <v>807</v>
      </c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  <c r="S225" s="542"/>
      <c r="T225" s="542"/>
      <c r="U225" s="542"/>
      <c r="V225" s="542"/>
      <c r="W225" s="540"/>
    </row>
    <row r="226" spans="1:23" s="539" customFormat="1" ht="8.1" customHeight="1" x14ac:dyDescent="0.25">
      <c r="A226" s="726" t="s">
        <v>1090</v>
      </c>
      <c r="B226" s="727"/>
      <c r="C226" s="728" t="s">
        <v>1091</v>
      </c>
      <c r="D226" s="729"/>
      <c r="E226" s="729"/>
      <c r="F226" s="729"/>
      <c r="G226" s="730"/>
      <c r="H226" s="540" t="s">
        <v>807</v>
      </c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0"/>
    </row>
    <row r="227" spans="1:23" s="539" customFormat="1" ht="8.1" customHeight="1" x14ac:dyDescent="0.25">
      <c r="A227" s="726" t="s">
        <v>1092</v>
      </c>
      <c r="B227" s="727"/>
      <c r="C227" s="731" t="s">
        <v>1093</v>
      </c>
      <c r="D227" s="732"/>
      <c r="E227" s="732"/>
      <c r="F227" s="732"/>
      <c r="G227" s="733"/>
      <c r="H227" s="540" t="s">
        <v>807</v>
      </c>
      <c r="I227" s="542"/>
      <c r="J227" s="542"/>
      <c r="K227" s="542"/>
      <c r="L227" s="542"/>
      <c r="M227" s="542"/>
      <c r="N227" s="542"/>
      <c r="O227" s="542"/>
      <c r="P227" s="542"/>
      <c r="Q227" s="542"/>
      <c r="R227" s="542"/>
      <c r="S227" s="542"/>
      <c r="T227" s="542"/>
      <c r="U227" s="542"/>
      <c r="V227" s="542"/>
      <c r="W227" s="540"/>
    </row>
    <row r="228" spans="1:23" s="539" customFormat="1" ht="8.1" customHeight="1" x14ac:dyDescent="0.25">
      <c r="A228" s="726" t="s">
        <v>1094</v>
      </c>
      <c r="B228" s="727"/>
      <c r="C228" s="731" t="s">
        <v>1095</v>
      </c>
      <c r="D228" s="732"/>
      <c r="E228" s="732"/>
      <c r="F228" s="732"/>
      <c r="G228" s="733"/>
      <c r="H228" s="540" t="s">
        <v>807</v>
      </c>
      <c r="I228" s="542"/>
      <c r="J228" s="542"/>
      <c r="K228" s="542"/>
      <c r="L228" s="542"/>
      <c r="M228" s="542"/>
      <c r="N228" s="542"/>
      <c r="O228" s="542"/>
      <c r="P228" s="542"/>
      <c r="Q228" s="542"/>
      <c r="R228" s="542"/>
      <c r="S228" s="542"/>
      <c r="T228" s="542"/>
      <c r="U228" s="542"/>
      <c r="V228" s="542"/>
      <c r="W228" s="540"/>
    </row>
    <row r="229" spans="1:23" s="539" customFormat="1" ht="8.1" customHeight="1" x14ac:dyDescent="0.25">
      <c r="A229" s="726" t="s">
        <v>1096</v>
      </c>
      <c r="B229" s="727"/>
      <c r="C229" s="728" t="s">
        <v>1097</v>
      </c>
      <c r="D229" s="729"/>
      <c r="E229" s="729"/>
      <c r="F229" s="729"/>
      <c r="G229" s="730"/>
      <c r="H229" s="540" t="s">
        <v>807</v>
      </c>
      <c r="I229" s="542"/>
      <c r="J229" s="542"/>
      <c r="K229" s="542"/>
      <c r="L229" s="542"/>
      <c r="M229" s="542"/>
      <c r="N229" s="542"/>
      <c r="O229" s="542"/>
      <c r="P229" s="542"/>
      <c r="Q229" s="542"/>
      <c r="R229" s="542"/>
      <c r="S229" s="542"/>
      <c r="T229" s="542"/>
      <c r="U229" s="542"/>
      <c r="V229" s="542"/>
      <c r="W229" s="540"/>
    </row>
    <row r="230" spans="1:23" s="539" customFormat="1" ht="8.1" customHeight="1" x14ac:dyDescent="0.25">
      <c r="A230" s="726" t="s">
        <v>1098</v>
      </c>
      <c r="B230" s="727"/>
      <c r="C230" s="728" t="s">
        <v>1099</v>
      </c>
      <c r="D230" s="729"/>
      <c r="E230" s="729"/>
      <c r="F230" s="729"/>
      <c r="G230" s="730"/>
      <c r="H230" s="540" t="s">
        <v>807</v>
      </c>
      <c r="I230" s="542"/>
      <c r="J230" s="542"/>
      <c r="K230" s="542"/>
      <c r="L230" s="542"/>
      <c r="M230" s="542"/>
      <c r="N230" s="542"/>
      <c r="O230" s="542"/>
      <c r="P230" s="542"/>
      <c r="Q230" s="542"/>
      <c r="R230" s="542"/>
      <c r="S230" s="542"/>
      <c r="T230" s="542"/>
      <c r="U230" s="542"/>
      <c r="V230" s="542"/>
      <c r="W230" s="540"/>
    </row>
    <row r="231" spans="1:23" s="539" customFormat="1" ht="8.1" customHeight="1" x14ac:dyDescent="0.25">
      <c r="A231" s="726" t="s">
        <v>1100</v>
      </c>
      <c r="B231" s="727"/>
      <c r="C231" s="728" t="s">
        <v>1101</v>
      </c>
      <c r="D231" s="729"/>
      <c r="E231" s="729"/>
      <c r="F231" s="729"/>
      <c r="G231" s="730"/>
      <c r="H231" s="540" t="s">
        <v>807</v>
      </c>
      <c r="I231" s="542"/>
      <c r="J231" s="542"/>
      <c r="K231" s="542"/>
      <c r="L231" s="542"/>
      <c r="M231" s="542"/>
      <c r="N231" s="542"/>
      <c r="O231" s="542"/>
      <c r="P231" s="542"/>
      <c r="Q231" s="542"/>
      <c r="R231" s="542"/>
      <c r="S231" s="542"/>
      <c r="T231" s="542"/>
      <c r="U231" s="542"/>
      <c r="V231" s="542"/>
      <c r="W231" s="540"/>
    </row>
    <row r="232" spans="1:23" s="539" customFormat="1" ht="8.1" customHeight="1" x14ac:dyDescent="0.25">
      <c r="A232" s="750" t="s">
        <v>1102</v>
      </c>
      <c r="B232" s="751"/>
      <c r="C232" s="752" t="s">
        <v>1103</v>
      </c>
      <c r="D232" s="753"/>
      <c r="E232" s="753"/>
      <c r="F232" s="753"/>
      <c r="G232" s="754"/>
      <c r="H232" s="548" t="s">
        <v>807</v>
      </c>
      <c r="I232" s="549"/>
      <c r="J232" s="549"/>
      <c r="K232" s="549"/>
      <c r="L232" s="549"/>
      <c r="M232" s="549"/>
      <c r="N232" s="549"/>
      <c r="O232" s="549"/>
      <c r="P232" s="549"/>
      <c r="Q232" s="549"/>
      <c r="R232" s="549"/>
      <c r="S232" s="549"/>
      <c r="T232" s="549"/>
      <c r="U232" s="549"/>
      <c r="V232" s="549"/>
      <c r="W232" s="548"/>
    </row>
    <row r="233" spans="1:23" s="539" customFormat="1" ht="8.1" customHeight="1" x14ac:dyDescent="0.25">
      <c r="A233" s="726" t="s">
        <v>1104</v>
      </c>
      <c r="B233" s="727"/>
      <c r="C233" s="728" t="s">
        <v>1105</v>
      </c>
      <c r="D233" s="729"/>
      <c r="E233" s="729"/>
      <c r="F233" s="729"/>
      <c r="G233" s="730"/>
      <c r="H233" s="540" t="s">
        <v>807</v>
      </c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540"/>
    </row>
    <row r="234" spans="1:23" s="539" customFormat="1" ht="8.1" customHeight="1" x14ac:dyDescent="0.25">
      <c r="A234" s="726" t="s">
        <v>1106</v>
      </c>
      <c r="B234" s="727"/>
      <c r="C234" s="731" t="s">
        <v>1083</v>
      </c>
      <c r="D234" s="732"/>
      <c r="E234" s="732"/>
      <c r="F234" s="732"/>
      <c r="G234" s="733"/>
      <c r="H234" s="540" t="s">
        <v>807</v>
      </c>
      <c r="I234" s="542"/>
      <c r="J234" s="542"/>
      <c r="K234" s="542"/>
      <c r="L234" s="542"/>
      <c r="M234" s="542"/>
      <c r="N234" s="542"/>
      <c r="O234" s="542"/>
      <c r="P234" s="542"/>
      <c r="Q234" s="542"/>
      <c r="R234" s="542"/>
      <c r="S234" s="542"/>
      <c r="T234" s="542"/>
      <c r="U234" s="542"/>
      <c r="V234" s="542"/>
      <c r="W234" s="540"/>
    </row>
    <row r="235" spans="1:23" s="539" customFormat="1" ht="8.1" customHeight="1" x14ac:dyDescent="0.25">
      <c r="A235" s="726" t="s">
        <v>1107</v>
      </c>
      <c r="B235" s="727"/>
      <c r="C235" s="731" t="s">
        <v>1085</v>
      </c>
      <c r="D235" s="732"/>
      <c r="E235" s="732"/>
      <c r="F235" s="732"/>
      <c r="G235" s="733"/>
      <c r="H235" s="540" t="s">
        <v>807</v>
      </c>
      <c r="I235" s="542"/>
      <c r="J235" s="542"/>
      <c r="K235" s="542"/>
      <c r="L235" s="542"/>
      <c r="M235" s="542"/>
      <c r="N235" s="542"/>
      <c r="O235" s="542"/>
      <c r="P235" s="542"/>
      <c r="Q235" s="542"/>
      <c r="R235" s="542"/>
      <c r="S235" s="542"/>
      <c r="T235" s="542"/>
      <c r="U235" s="542"/>
      <c r="V235" s="542"/>
      <c r="W235" s="540"/>
    </row>
    <row r="236" spans="1:23" s="539" customFormat="1" ht="8.1" customHeight="1" x14ac:dyDescent="0.25">
      <c r="A236" s="726" t="s">
        <v>1108</v>
      </c>
      <c r="B236" s="727"/>
      <c r="C236" s="731" t="s">
        <v>1087</v>
      </c>
      <c r="D236" s="732"/>
      <c r="E236" s="732"/>
      <c r="F236" s="732"/>
      <c r="G236" s="733"/>
      <c r="H236" s="540" t="s">
        <v>807</v>
      </c>
      <c r="I236" s="542"/>
      <c r="J236" s="542"/>
      <c r="K236" s="542"/>
      <c r="L236" s="542"/>
      <c r="M236" s="542"/>
      <c r="N236" s="542"/>
      <c r="O236" s="542"/>
      <c r="P236" s="542"/>
      <c r="Q236" s="542"/>
      <c r="R236" s="542"/>
      <c r="S236" s="542"/>
      <c r="T236" s="542"/>
      <c r="U236" s="542"/>
      <c r="V236" s="542"/>
      <c r="W236" s="540"/>
    </row>
    <row r="237" spans="1:23" s="539" customFormat="1" ht="8.1" customHeight="1" x14ac:dyDescent="0.25">
      <c r="A237" s="726" t="s">
        <v>1109</v>
      </c>
      <c r="B237" s="727"/>
      <c r="C237" s="728" t="s">
        <v>964</v>
      </c>
      <c r="D237" s="729"/>
      <c r="E237" s="729"/>
      <c r="F237" s="729"/>
      <c r="G237" s="730"/>
      <c r="H237" s="540" t="s">
        <v>807</v>
      </c>
      <c r="I237" s="542"/>
      <c r="J237" s="542"/>
      <c r="K237" s="542"/>
      <c r="L237" s="542"/>
      <c r="M237" s="542"/>
      <c r="N237" s="542"/>
      <c r="O237" s="542"/>
      <c r="P237" s="542"/>
      <c r="Q237" s="542"/>
      <c r="R237" s="542"/>
      <c r="S237" s="542"/>
      <c r="T237" s="542"/>
      <c r="U237" s="542"/>
      <c r="V237" s="542"/>
      <c r="W237" s="540"/>
    </row>
    <row r="238" spans="1:23" s="539" customFormat="1" ht="8.1" customHeight="1" x14ac:dyDescent="0.25">
      <c r="A238" s="726" t="s">
        <v>1110</v>
      </c>
      <c r="B238" s="727"/>
      <c r="C238" s="728" t="s">
        <v>1111</v>
      </c>
      <c r="D238" s="729"/>
      <c r="E238" s="729"/>
      <c r="F238" s="729"/>
      <c r="G238" s="730"/>
      <c r="H238" s="540" t="s">
        <v>807</v>
      </c>
      <c r="I238" s="542"/>
      <c r="J238" s="542"/>
      <c r="K238" s="542"/>
      <c r="L238" s="542"/>
      <c r="M238" s="542"/>
      <c r="N238" s="542"/>
      <c r="O238" s="542"/>
      <c r="P238" s="542"/>
      <c r="Q238" s="542"/>
      <c r="R238" s="542"/>
      <c r="S238" s="542"/>
      <c r="T238" s="542"/>
      <c r="U238" s="542"/>
      <c r="V238" s="542"/>
      <c r="W238" s="540"/>
    </row>
    <row r="239" spans="1:23" s="539" customFormat="1" ht="16.5" customHeight="1" x14ac:dyDescent="0.25">
      <c r="A239" s="750" t="s">
        <v>1112</v>
      </c>
      <c r="B239" s="751"/>
      <c r="C239" s="752" t="s">
        <v>1113</v>
      </c>
      <c r="D239" s="753"/>
      <c r="E239" s="753"/>
      <c r="F239" s="753"/>
      <c r="G239" s="754"/>
      <c r="H239" s="548" t="s">
        <v>807</v>
      </c>
      <c r="I239" s="550">
        <f t="shared" ref="I239:W239" si="181">I164-I182</f>
        <v>49.031400000000005</v>
      </c>
      <c r="J239" s="550">
        <f t="shared" si="181"/>
        <v>46.048466666666656</v>
      </c>
      <c r="K239" s="550">
        <f t="shared" si="181"/>
        <v>21.286840000000012</v>
      </c>
      <c r="L239" s="550">
        <f t="shared" si="181"/>
        <v>23.918286056345636</v>
      </c>
      <c r="M239" s="550">
        <f t="shared" si="181"/>
        <v>0</v>
      </c>
      <c r="N239" s="550">
        <f t="shared" si="181"/>
        <v>26.186900077051476</v>
      </c>
      <c r="O239" s="550">
        <f t="shared" si="181"/>
        <v>0</v>
      </c>
      <c r="P239" s="550">
        <f t="shared" si="181"/>
        <v>28.646769263138452</v>
      </c>
      <c r="Q239" s="550">
        <f t="shared" si="181"/>
        <v>0</v>
      </c>
      <c r="R239" s="550">
        <f t="shared" si="181"/>
        <v>31.315929169128665</v>
      </c>
      <c r="S239" s="550">
        <f t="shared" si="181"/>
        <v>0</v>
      </c>
      <c r="T239" s="550">
        <f t="shared" si="181"/>
        <v>34.214133381266095</v>
      </c>
      <c r="U239" s="550">
        <f t="shared" si="181"/>
        <v>0</v>
      </c>
      <c r="V239" s="550">
        <f t="shared" si="181"/>
        <v>144.2820179469303</v>
      </c>
      <c r="W239" s="550">
        <f t="shared" si="181"/>
        <v>0</v>
      </c>
    </row>
    <row r="240" spans="1:23" s="539" customFormat="1" ht="17.25" customHeight="1" x14ac:dyDescent="0.25">
      <c r="A240" s="750" t="s">
        <v>1114</v>
      </c>
      <c r="B240" s="751"/>
      <c r="C240" s="752" t="s">
        <v>1115</v>
      </c>
      <c r="D240" s="753"/>
      <c r="E240" s="753"/>
      <c r="F240" s="753"/>
      <c r="G240" s="754"/>
      <c r="H240" s="548" t="s">
        <v>807</v>
      </c>
      <c r="I240" s="550">
        <f t="shared" ref="I240:K240" si="182">I200-I207</f>
        <v>-43.124600000000001</v>
      </c>
      <c r="J240" s="550">
        <f t="shared" si="182"/>
        <v>-41.061039999999991</v>
      </c>
      <c r="K240" s="550">
        <f t="shared" si="182"/>
        <v>-13.030799999999999</v>
      </c>
      <c r="L240" s="550">
        <f>L200-L207</f>
        <v>-20.577676799999999</v>
      </c>
      <c r="M240" s="550">
        <f t="shared" ref="M240:W240" si="183">M200-M207</f>
        <v>0</v>
      </c>
      <c r="N240" s="550">
        <f t="shared" si="183"/>
        <v>-22.547731209599998</v>
      </c>
      <c r="O240" s="550">
        <f t="shared" si="183"/>
        <v>0</v>
      </c>
      <c r="P240" s="550">
        <f>P200-P207</f>
        <v>-24.552889776451202</v>
      </c>
      <c r="Q240" s="550">
        <f t="shared" ref="Q240" si="184">Q200-Q207</f>
        <v>0</v>
      </c>
      <c r="R240" s="550">
        <f>R200-R207</f>
        <v>-26.597443595944405</v>
      </c>
      <c r="S240" s="550">
        <f t="shared" si="183"/>
        <v>0</v>
      </c>
      <c r="T240" s="550">
        <f>T200-T207</f>
        <v>-28.680916244953792</v>
      </c>
      <c r="U240" s="550">
        <f t="shared" ref="U240" si="185">U200-U207</f>
        <v>0</v>
      </c>
      <c r="V240" s="550">
        <f t="shared" si="183"/>
        <v>-122.95665762694939</v>
      </c>
      <c r="W240" s="550">
        <f t="shared" si="183"/>
        <v>0</v>
      </c>
    </row>
    <row r="241" spans="1:23" s="539" customFormat="1" ht="8.4499999999999993" customHeight="1" x14ac:dyDescent="0.25">
      <c r="A241" s="726" t="s">
        <v>1116</v>
      </c>
      <c r="B241" s="727"/>
      <c r="C241" s="728" t="s">
        <v>1117</v>
      </c>
      <c r="D241" s="729"/>
      <c r="E241" s="729"/>
      <c r="F241" s="729"/>
      <c r="G241" s="730"/>
      <c r="H241" s="540" t="s">
        <v>807</v>
      </c>
      <c r="I241" s="542"/>
      <c r="J241" s="542"/>
      <c r="K241" s="542"/>
      <c r="L241" s="542"/>
      <c r="M241" s="542"/>
      <c r="N241" s="542"/>
      <c r="O241" s="542"/>
      <c r="P241" s="542"/>
      <c r="Q241" s="542"/>
      <c r="R241" s="542"/>
      <c r="S241" s="542"/>
      <c r="T241" s="542"/>
      <c r="U241" s="542"/>
      <c r="V241" s="542"/>
      <c r="W241" s="540"/>
    </row>
    <row r="242" spans="1:23" s="539" customFormat="1" ht="8.4499999999999993" customHeight="1" x14ac:dyDescent="0.25">
      <c r="A242" s="726" t="s">
        <v>1118</v>
      </c>
      <c r="B242" s="727"/>
      <c r="C242" s="728" t="s">
        <v>1119</v>
      </c>
      <c r="D242" s="729"/>
      <c r="E242" s="729"/>
      <c r="F242" s="729"/>
      <c r="G242" s="730"/>
      <c r="H242" s="540" t="s">
        <v>807</v>
      </c>
      <c r="I242" s="542"/>
      <c r="J242" s="542"/>
      <c r="K242" s="542"/>
      <c r="L242" s="542"/>
      <c r="M242" s="542"/>
      <c r="N242" s="542"/>
      <c r="O242" s="542"/>
      <c r="P242" s="542"/>
      <c r="Q242" s="542"/>
      <c r="R242" s="542"/>
      <c r="S242" s="542"/>
      <c r="T242" s="542"/>
      <c r="U242" s="542"/>
      <c r="V242" s="542"/>
      <c r="W242" s="540"/>
    </row>
    <row r="243" spans="1:23" s="539" customFormat="1" ht="16.5" customHeight="1" x14ac:dyDescent="0.25">
      <c r="A243" s="726" t="s">
        <v>1120</v>
      </c>
      <c r="B243" s="727"/>
      <c r="C243" s="795" t="s">
        <v>1121</v>
      </c>
      <c r="D243" s="796"/>
      <c r="E243" s="796"/>
      <c r="F243" s="796"/>
      <c r="G243" s="797"/>
      <c r="H243" s="540" t="s">
        <v>807</v>
      </c>
      <c r="I243" s="542"/>
      <c r="J243" s="542"/>
      <c r="K243" s="542"/>
      <c r="L243" s="542"/>
      <c r="M243" s="542"/>
      <c r="N243" s="542"/>
      <c r="O243" s="542"/>
      <c r="P243" s="542"/>
      <c r="Q243" s="542"/>
      <c r="R243" s="542"/>
      <c r="S243" s="542"/>
      <c r="T243" s="542"/>
      <c r="U243" s="542"/>
      <c r="V243" s="542"/>
      <c r="W243" s="540"/>
    </row>
    <row r="244" spans="1:23" s="539" customFormat="1" ht="8.4499999999999993" customHeight="1" x14ac:dyDescent="0.25">
      <c r="A244" s="726" t="s">
        <v>1122</v>
      </c>
      <c r="B244" s="727"/>
      <c r="C244" s="728" t="s">
        <v>1123</v>
      </c>
      <c r="D244" s="729"/>
      <c r="E244" s="729"/>
      <c r="F244" s="729"/>
      <c r="G244" s="730"/>
      <c r="H244" s="540" t="s">
        <v>807</v>
      </c>
      <c r="I244" s="542"/>
      <c r="J244" s="542"/>
      <c r="K244" s="542"/>
      <c r="L244" s="542"/>
      <c r="M244" s="542"/>
      <c r="N244" s="542"/>
      <c r="O244" s="542"/>
      <c r="P244" s="542"/>
      <c r="Q244" s="542"/>
      <c r="R244" s="542"/>
      <c r="S244" s="542"/>
      <c r="T244" s="542"/>
      <c r="U244" s="542"/>
      <c r="V244" s="542"/>
      <c r="W244" s="540"/>
    </row>
    <row r="245" spans="1:23" s="539" customFormat="1" ht="8.4499999999999993" customHeight="1" x14ac:dyDescent="0.25">
      <c r="A245" s="726" t="s">
        <v>1124</v>
      </c>
      <c r="B245" s="727"/>
      <c r="C245" s="728" t="s">
        <v>1125</v>
      </c>
      <c r="D245" s="729"/>
      <c r="E245" s="729"/>
      <c r="F245" s="729"/>
      <c r="G245" s="730"/>
      <c r="H245" s="540" t="s">
        <v>807</v>
      </c>
      <c r="I245" s="542"/>
      <c r="J245" s="542"/>
      <c r="K245" s="542"/>
      <c r="L245" s="542"/>
      <c r="M245" s="542"/>
      <c r="N245" s="542"/>
      <c r="O245" s="542"/>
      <c r="P245" s="542"/>
      <c r="Q245" s="542"/>
      <c r="R245" s="542"/>
      <c r="S245" s="542"/>
      <c r="T245" s="542"/>
      <c r="U245" s="542"/>
      <c r="V245" s="542"/>
      <c r="W245" s="540"/>
    </row>
    <row r="246" spans="1:23" s="539" customFormat="1" ht="9" customHeight="1" x14ac:dyDescent="0.25">
      <c r="A246" s="750" t="s">
        <v>1126</v>
      </c>
      <c r="B246" s="751"/>
      <c r="C246" s="752" t="s">
        <v>1127</v>
      </c>
      <c r="D246" s="753"/>
      <c r="E246" s="753"/>
      <c r="F246" s="753"/>
      <c r="G246" s="754"/>
      <c r="H246" s="548" t="s">
        <v>807</v>
      </c>
      <c r="I246" s="550">
        <f>-(I164/1.2*0.2-(I182-I191-I192-I193)/1.2*0.2-I207/1.2*0.2)</f>
        <v>-4.678799999999999</v>
      </c>
      <c r="J246" s="550">
        <v>-4.9854266666666653</v>
      </c>
      <c r="K246" s="550">
        <f t="shared" ref="K246:W246" si="186">-(K164/1.2*0.2-(K182-K191-K192-K193)/1.2*0.2-K207/1.2*0.2)</f>
        <v>-4.4772480000000039</v>
      </c>
      <c r="L246" s="550">
        <f t="shared" si="186"/>
        <v>-3.690202460057606</v>
      </c>
      <c r="M246" s="550">
        <f t="shared" si="186"/>
        <v>0</v>
      </c>
      <c r="N246" s="550">
        <f t="shared" si="186"/>
        <v>-3.859383805023247</v>
      </c>
      <c r="O246" s="550">
        <f t="shared" si="186"/>
        <v>0</v>
      </c>
      <c r="P246" s="550">
        <f t="shared" si="186"/>
        <v>-4.0617697909369292</v>
      </c>
      <c r="Q246" s="550">
        <f t="shared" si="186"/>
        <v>0</v>
      </c>
      <c r="R246" s="550">
        <f t="shared" si="186"/>
        <v>-4.2999885962147522</v>
      </c>
      <c r="S246" s="550">
        <f t="shared" si="186"/>
        <v>0</v>
      </c>
      <c r="T246" s="550">
        <f t="shared" si="186"/>
        <v>-4.5777651837682427</v>
      </c>
      <c r="U246" s="550">
        <f t="shared" si="186"/>
        <v>0</v>
      </c>
      <c r="V246" s="550">
        <f t="shared" si="186"/>
        <v>-20.489109836000793</v>
      </c>
      <c r="W246" s="550">
        <f t="shared" si="186"/>
        <v>0</v>
      </c>
    </row>
    <row r="247" spans="1:23" s="539" customFormat="1" ht="9" customHeight="1" x14ac:dyDescent="0.25">
      <c r="A247" s="750" t="s">
        <v>1128</v>
      </c>
      <c r="B247" s="751"/>
      <c r="C247" s="752" t="s">
        <v>1129</v>
      </c>
      <c r="D247" s="753"/>
      <c r="E247" s="753"/>
      <c r="F247" s="753"/>
      <c r="G247" s="754"/>
      <c r="H247" s="548" t="s">
        <v>807</v>
      </c>
      <c r="I247" s="550">
        <f t="shared" ref="I247:V247" si="187">I239+I240+I243+I246</f>
        <v>1.2280000000000051</v>
      </c>
      <c r="J247" s="550">
        <v>1.9999999999988916E-3</v>
      </c>
      <c r="K247" s="550">
        <f t="shared" si="187"/>
        <v>3.778792000000009</v>
      </c>
      <c r="L247" s="550">
        <f>L239+L240+L243+L246</f>
        <v>-0.34959320371196911</v>
      </c>
      <c r="M247" s="550">
        <f t="shared" si="187"/>
        <v>0</v>
      </c>
      <c r="N247" s="550">
        <f t="shared" si="187"/>
        <v>-0.22021493757176946</v>
      </c>
      <c r="O247" s="550">
        <f t="shared" si="187"/>
        <v>0</v>
      </c>
      <c r="P247" s="550">
        <f t="shared" si="187"/>
        <v>3.2109695750320633E-2</v>
      </c>
      <c r="Q247" s="550">
        <f t="shared" si="187"/>
        <v>0</v>
      </c>
      <c r="R247" s="550">
        <f t="shared" si="187"/>
        <v>0.41849697696950816</v>
      </c>
      <c r="S247" s="550">
        <f t="shared" si="187"/>
        <v>0</v>
      </c>
      <c r="T247" s="550">
        <f>T239+T240+T243+T246</f>
        <v>0.95545195254405968</v>
      </c>
      <c r="U247" s="550">
        <f t="shared" si="187"/>
        <v>0</v>
      </c>
      <c r="V247" s="550">
        <f t="shared" si="187"/>
        <v>0.83625048398010904</v>
      </c>
      <c r="W247" s="550">
        <f t="shared" ref="W247" si="188">W239+W240+W243+W246</f>
        <v>0</v>
      </c>
    </row>
    <row r="248" spans="1:23" s="539" customFormat="1" ht="9" customHeight="1" x14ac:dyDescent="0.25">
      <c r="A248" s="726" t="s">
        <v>1130</v>
      </c>
      <c r="B248" s="727"/>
      <c r="C248" s="795" t="s">
        <v>1131</v>
      </c>
      <c r="D248" s="796"/>
      <c r="E248" s="796"/>
      <c r="F248" s="796"/>
      <c r="G248" s="797"/>
      <c r="H248" s="540" t="s">
        <v>807</v>
      </c>
      <c r="I248" s="542">
        <v>0.82</v>
      </c>
      <c r="J248" s="558">
        <v>2.0480000000000049</v>
      </c>
      <c r="K248" s="558">
        <f>J249</f>
        <v>2.0500000000000038</v>
      </c>
      <c r="L248" s="558">
        <f>K249</f>
        <v>3.1850000000000001</v>
      </c>
      <c r="M248" s="542"/>
      <c r="N248" s="558">
        <f>L249</f>
        <v>2.8354067962880309</v>
      </c>
      <c r="O248" s="558"/>
      <c r="P248" s="558">
        <f>N249</f>
        <v>2.6151918587162615</v>
      </c>
      <c r="Q248" s="558"/>
      <c r="R248" s="558">
        <f>P249</f>
        <v>2.6473015544665821</v>
      </c>
      <c r="S248" s="558"/>
      <c r="T248" s="558">
        <f>R249</f>
        <v>3.0657985314360903</v>
      </c>
      <c r="U248" s="558"/>
      <c r="V248" s="542"/>
      <c r="W248" s="540"/>
    </row>
    <row r="249" spans="1:23" s="539" customFormat="1" ht="9" customHeight="1" thickBot="1" x14ac:dyDescent="0.3">
      <c r="A249" s="721" t="s">
        <v>1132</v>
      </c>
      <c r="B249" s="722"/>
      <c r="C249" s="807" t="s">
        <v>1133</v>
      </c>
      <c r="D249" s="808"/>
      <c r="E249" s="808"/>
      <c r="F249" s="808"/>
      <c r="G249" s="809"/>
      <c r="H249" s="559" t="s">
        <v>807</v>
      </c>
      <c r="I249" s="565">
        <f>I248+I247</f>
        <v>2.0480000000000049</v>
      </c>
      <c r="J249" s="565">
        <v>2.0500000000000038</v>
      </c>
      <c r="K249" s="565">
        <v>3.1850000000000001</v>
      </c>
      <c r="L249" s="565">
        <f>L247+L248</f>
        <v>2.8354067962880309</v>
      </c>
      <c r="M249" s="565"/>
      <c r="N249" s="565">
        <f>N247+N248</f>
        <v>2.6151918587162615</v>
      </c>
      <c r="O249" s="565"/>
      <c r="P249" s="565">
        <f>P247+P248</f>
        <v>2.6473015544665821</v>
      </c>
      <c r="Q249" s="565"/>
      <c r="R249" s="565">
        <f>R247+R248</f>
        <v>3.0657985314360903</v>
      </c>
      <c r="S249" s="565"/>
      <c r="T249" s="565">
        <f>T247+T248</f>
        <v>4.0212504839801504</v>
      </c>
      <c r="U249" s="565"/>
      <c r="V249" s="560"/>
      <c r="W249" s="559"/>
    </row>
    <row r="250" spans="1:23" s="539" customFormat="1" ht="9" customHeight="1" x14ac:dyDescent="0.25">
      <c r="A250" s="737" t="s">
        <v>1134</v>
      </c>
      <c r="B250" s="738"/>
      <c r="C250" s="739" t="s">
        <v>891</v>
      </c>
      <c r="D250" s="740"/>
      <c r="E250" s="740"/>
      <c r="F250" s="740"/>
      <c r="G250" s="741"/>
      <c r="H250" s="561" t="s">
        <v>121</v>
      </c>
      <c r="I250" s="562"/>
      <c r="J250" s="562"/>
      <c r="K250" s="562"/>
      <c r="L250" s="562"/>
      <c r="M250" s="562"/>
      <c r="N250" s="562"/>
      <c r="O250" s="562"/>
      <c r="P250" s="562"/>
      <c r="Q250" s="562"/>
      <c r="R250" s="562"/>
      <c r="S250" s="562"/>
      <c r="T250" s="562"/>
      <c r="U250" s="562"/>
      <c r="V250" s="562"/>
      <c r="W250" s="561"/>
    </row>
    <row r="251" spans="1:23" s="539" customFormat="1" ht="8.4499999999999993" customHeight="1" x14ac:dyDescent="0.25">
      <c r="A251" s="750" t="s">
        <v>1135</v>
      </c>
      <c r="B251" s="751"/>
      <c r="C251" s="798" t="s">
        <v>1136</v>
      </c>
      <c r="D251" s="799"/>
      <c r="E251" s="799"/>
      <c r="F251" s="799"/>
      <c r="G251" s="800"/>
      <c r="H251" s="548" t="s">
        <v>807</v>
      </c>
      <c r="I251" s="549">
        <v>5.29</v>
      </c>
      <c r="J251" s="549"/>
      <c r="K251" s="549"/>
      <c r="L251" s="549">
        <v>0</v>
      </c>
      <c r="M251" s="549"/>
      <c r="N251" s="549"/>
      <c r="O251" s="549"/>
      <c r="P251" s="549"/>
      <c r="Q251" s="549"/>
      <c r="R251" s="549"/>
      <c r="S251" s="549"/>
      <c r="T251" s="549"/>
      <c r="U251" s="549"/>
      <c r="V251" s="549"/>
      <c r="W251" s="548"/>
    </row>
    <row r="252" spans="1:23" s="539" customFormat="1" ht="8.1" customHeight="1" x14ac:dyDescent="0.25">
      <c r="A252" s="726" t="s">
        <v>1137</v>
      </c>
      <c r="B252" s="727"/>
      <c r="C252" s="731" t="s">
        <v>1138</v>
      </c>
      <c r="D252" s="732"/>
      <c r="E252" s="732"/>
      <c r="F252" s="732"/>
      <c r="G252" s="733"/>
      <c r="H252" s="540" t="s">
        <v>807</v>
      </c>
      <c r="I252" s="542"/>
      <c r="J252" s="542"/>
      <c r="K252" s="542"/>
      <c r="L252" s="542"/>
      <c r="M252" s="542"/>
      <c r="N252" s="542"/>
      <c r="O252" s="542"/>
      <c r="P252" s="542"/>
      <c r="Q252" s="542"/>
      <c r="R252" s="542"/>
      <c r="S252" s="542"/>
      <c r="T252" s="542"/>
      <c r="U252" s="542"/>
      <c r="V252" s="542"/>
      <c r="W252" s="540"/>
    </row>
    <row r="253" spans="1:23" s="539" customFormat="1" ht="8.1" customHeight="1" x14ac:dyDescent="0.25">
      <c r="A253" s="726" t="s">
        <v>1139</v>
      </c>
      <c r="B253" s="727"/>
      <c r="C253" s="742" t="s">
        <v>1140</v>
      </c>
      <c r="D253" s="743"/>
      <c r="E253" s="743"/>
      <c r="F253" s="743"/>
      <c r="G253" s="744"/>
      <c r="H253" s="540" t="s">
        <v>807</v>
      </c>
      <c r="I253" s="542"/>
      <c r="J253" s="542"/>
      <c r="K253" s="542"/>
      <c r="L253" s="542"/>
      <c r="M253" s="542"/>
      <c r="N253" s="542"/>
      <c r="O253" s="542"/>
      <c r="P253" s="542"/>
      <c r="Q253" s="542"/>
      <c r="R253" s="542"/>
      <c r="S253" s="542"/>
      <c r="T253" s="542"/>
      <c r="U253" s="542"/>
      <c r="V253" s="542"/>
      <c r="W253" s="540"/>
    </row>
    <row r="254" spans="1:23" s="539" customFormat="1" ht="16.5" customHeight="1" x14ac:dyDescent="0.25">
      <c r="A254" s="726" t="s">
        <v>1141</v>
      </c>
      <c r="B254" s="727"/>
      <c r="C254" s="742" t="s">
        <v>809</v>
      </c>
      <c r="D254" s="743"/>
      <c r="E254" s="743"/>
      <c r="F254" s="743"/>
      <c r="G254" s="744"/>
      <c r="H254" s="540" t="s">
        <v>807</v>
      </c>
      <c r="I254" s="542"/>
      <c r="J254" s="542"/>
      <c r="K254" s="542"/>
      <c r="L254" s="542"/>
      <c r="M254" s="542"/>
      <c r="N254" s="542"/>
      <c r="O254" s="542"/>
      <c r="P254" s="542"/>
      <c r="Q254" s="542"/>
      <c r="R254" s="542"/>
      <c r="S254" s="542"/>
      <c r="T254" s="542"/>
      <c r="U254" s="542"/>
      <c r="V254" s="542"/>
      <c r="W254" s="540"/>
    </row>
    <row r="255" spans="1:23" s="539" customFormat="1" ht="8.1" customHeight="1" x14ac:dyDescent="0.25">
      <c r="A255" s="726" t="s">
        <v>1142</v>
      </c>
      <c r="B255" s="727"/>
      <c r="C255" s="755" t="s">
        <v>1140</v>
      </c>
      <c r="D255" s="756"/>
      <c r="E255" s="756"/>
      <c r="F255" s="756"/>
      <c r="G255" s="757"/>
      <c r="H255" s="540" t="s">
        <v>807</v>
      </c>
      <c r="I255" s="542"/>
      <c r="J255" s="542"/>
      <c r="K255" s="542"/>
      <c r="L255" s="542"/>
      <c r="M255" s="542"/>
      <c r="N255" s="542"/>
      <c r="O255" s="542"/>
      <c r="P255" s="542"/>
      <c r="Q255" s="542"/>
      <c r="R255" s="542"/>
      <c r="S255" s="542"/>
      <c r="T255" s="542"/>
      <c r="U255" s="542"/>
      <c r="V255" s="542"/>
      <c r="W255" s="540"/>
    </row>
    <row r="256" spans="1:23" s="539" customFormat="1" ht="16.5" customHeight="1" x14ac:dyDescent="0.25">
      <c r="A256" s="726" t="s">
        <v>1143</v>
      </c>
      <c r="B256" s="727"/>
      <c r="C256" s="742" t="s">
        <v>810</v>
      </c>
      <c r="D256" s="743"/>
      <c r="E256" s="743"/>
      <c r="F256" s="743"/>
      <c r="G256" s="744"/>
      <c r="H256" s="540" t="s">
        <v>807</v>
      </c>
      <c r="I256" s="542"/>
      <c r="J256" s="542"/>
      <c r="K256" s="542"/>
      <c r="L256" s="542"/>
      <c r="M256" s="542"/>
      <c r="N256" s="542"/>
      <c r="O256" s="542"/>
      <c r="P256" s="542"/>
      <c r="Q256" s="542"/>
      <c r="R256" s="542"/>
      <c r="S256" s="542"/>
      <c r="T256" s="542"/>
      <c r="U256" s="542"/>
      <c r="V256" s="542"/>
      <c r="W256" s="540"/>
    </row>
    <row r="257" spans="1:23" s="539" customFormat="1" ht="8.1" customHeight="1" x14ac:dyDescent="0.25">
      <c r="A257" s="726" t="s">
        <v>1144</v>
      </c>
      <c r="B257" s="727"/>
      <c r="C257" s="755" t="s">
        <v>1140</v>
      </c>
      <c r="D257" s="756"/>
      <c r="E257" s="756"/>
      <c r="F257" s="756"/>
      <c r="G257" s="757"/>
      <c r="H257" s="540" t="s">
        <v>807</v>
      </c>
      <c r="I257" s="542"/>
      <c r="J257" s="542"/>
      <c r="K257" s="542"/>
      <c r="L257" s="542"/>
      <c r="M257" s="542"/>
      <c r="N257" s="542"/>
      <c r="O257" s="542"/>
      <c r="P257" s="542"/>
      <c r="Q257" s="542"/>
      <c r="R257" s="542"/>
      <c r="S257" s="542"/>
      <c r="T257" s="542"/>
      <c r="U257" s="542"/>
      <c r="V257" s="542"/>
      <c r="W257" s="540"/>
    </row>
    <row r="258" spans="1:23" s="539" customFormat="1" ht="16.5" customHeight="1" x14ac:dyDescent="0.25">
      <c r="A258" s="726" t="s">
        <v>1145</v>
      </c>
      <c r="B258" s="727"/>
      <c r="C258" s="742" t="s">
        <v>811</v>
      </c>
      <c r="D258" s="743"/>
      <c r="E258" s="743"/>
      <c r="F258" s="743"/>
      <c r="G258" s="744"/>
      <c r="H258" s="540" t="s">
        <v>807</v>
      </c>
      <c r="I258" s="542"/>
      <c r="J258" s="542"/>
      <c r="K258" s="542"/>
      <c r="L258" s="542"/>
      <c r="M258" s="542"/>
      <c r="N258" s="542"/>
      <c r="O258" s="542"/>
      <c r="P258" s="542"/>
      <c r="Q258" s="542"/>
      <c r="R258" s="542"/>
      <c r="S258" s="542"/>
      <c r="T258" s="542"/>
      <c r="U258" s="542"/>
      <c r="V258" s="542"/>
      <c r="W258" s="540"/>
    </row>
    <row r="259" spans="1:23" s="539" customFormat="1" ht="8.1" customHeight="1" x14ac:dyDescent="0.25">
      <c r="A259" s="726" t="s">
        <v>1146</v>
      </c>
      <c r="B259" s="727"/>
      <c r="C259" s="755" t="s">
        <v>1140</v>
      </c>
      <c r="D259" s="756"/>
      <c r="E259" s="756"/>
      <c r="F259" s="756"/>
      <c r="G259" s="757"/>
      <c r="H259" s="540" t="s">
        <v>807</v>
      </c>
      <c r="I259" s="542"/>
      <c r="J259" s="542"/>
      <c r="K259" s="542"/>
      <c r="L259" s="542"/>
      <c r="M259" s="542"/>
      <c r="N259" s="542"/>
      <c r="O259" s="542"/>
      <c r="P259" s="542"/>
      <c r="Q259" s="542"/>
      <c r="R259" s="542"/>
      <c r="S259" s="542"/>
      <c r="T259" s="542"/>
      <c r="U259" s="542"/>
      <c r="V259" s="542"/>
      <c r="W259" s="540"/>
    </row>
    <row r="260" spans="1:23" s="539" customFormat="1" ht="8.1" customHeight="1" x14ac:dyDescent="0.25">
      <c r="A260" s="726" t="s">
        <v>1147</v>
      </c>
      <c r="B260" s="727"/>
      <c r="C260" s="731" t="s">
        <v>1148</v>
      </c>
      <c r="D260" s="732"/>
      <c r="E260" s="732"/>
      <c r="F260" s="732"/>
      <c r="G260" s="733"/>
      <c r="H260" s="540" t="s">
        <v>807</v>
      </c>
      <c r="I260" s="542"/>
      <c r="J260" s="542"/>
      <c r="K260" s="542"/>
      <c r="L260" s="542"/>
      <c r="M260" s="542"/>
      <c r="N260" s="542"/>
      <c r="O260" s="542"/>
      <c r="P260" s="542"/>
      <c r="Q260" s="542"/>
      <c r="R260" s="542"/>
      <c r="S260" s="542"/>
      <c r="T260" s="542"/>
      <c r="U260" s="542"/>
      <c r="V260" s="542"/>
      <c r="W260" s="540"/>
    </row>
    <row r="261" spans="1:23" s="539" customFormat="1" ht="8.1" customHeight="1" x14ac:dyDescent="0.25">
      <c r="A261" s="726" t="s">
        <v>1149</v>
      </c>
      <c r="B261" s="727"/>
      <c r="C261" s="742" t="s">
        <v>1140</v>
      </c>
      <c r="D261" s="743"/>
      <c r="E261" s="743"/>
      <c r="F261" s="743"/>
      <c r="G261" s="744"/>
      <c r="H261" s="540" t="s">
        <v>807</v>
      </c>
      <c r="I261" s="542"/>
      <c r="J261" s="542"/>
      <c r="K261" s="542"/>
      <c r="L261" s="542"/>
      <c r="M261" s="542"/>
      <c r="N261" s="542"/>
      <c r="O261" s="542"/>
      <c r="P261" s="542"/>
      <c r="Q261" s="542"/>
      <c r="R261" s="542"/>
      <c r="S261" s="542"/>
      <c r="T261" s="542"/>
      <c r="U261" s="542"/>
      <c r="V261" s="542"/>
      <c r="W261" s="540"/>
    </row>
    <row r="262" spans="1:23" s="539" customFormat="1" ht="8.1" customHeight="1" x14ac:dyDescent="0.25">
      <c r="A262" s="745" t="s">
        <v>1150</v>
      </c>
      <c r="B262" s="746"/>
      <c r="C262" s="758" t="s">
        <v>1151</v>
      </c>
      <c r="D262" s="759"/>
      <c r="E262" s="759"/>
      <c r="F262" s="759"/>
      <c r="G262" s="760"/>
      <c r="H262" s="543" t="s">
        <v>807</v>
      </c>
      <c r="I262" s="544">
        <v>11.792999999999999</v>
      </c>
      <c r="J262" s="544"/>
      <c r="K262" s="544"/>
      <c r="L262" s="544"/>
      <c r="M262" s="544"/>
      <c r="N262" s="544"/>
      <c r="O262" s="544"/>
      <c r="P262" s="544"/>
      <c r="Q262" s="544"/>
      <c r="R262" s="544"/>
      <c r="S262" s="544"/>
      <c r="T262" s="544"/>
      <c r="U262" s="544"/>
      <c r="V262" s="544"/>
      <c r="W262" s="543"/>
    </row>
    <row r="263" spans="1:23" s="539" customFormat="1" ht="8.1" customHeight="1" x14ac:dyDescent="0.25">
      <c r="A263" s="745" t="s">
        <v>1152</v>
      </c>
      <c r="B263" s="746"/>
      <c r="C263" s="761" t="s">
        <v>1140</v>
      </c>
      <c r="D263" s="762"/>
      <c r="E263" s="762"/>
      <c r="F263" s="762"/>
      <c r="G263" s="763"/>
      <c r="H263" s="543" t="s">
        <v>807</v>
      </c>
      <c r="I263" s="544">
        <v>3.5059999999999998</v>
      </c>
      <c r="J263" s="544"/>
      <c r="K263" s="544"/>
      <c r="L263" s="544"/>
      <c r="M263" s="544"/>
      <c r="N263" s="544"/>
      <c r="O263" s="544"/>
      <c r="P263" s="544"/>
      <c r="Q263" s="544"/>
      <c r="R263" s="544"/>
      <c r="S263" s="544"/>
      <c r="T263" s="544"/>
      <c r="U263" s="544"/>
      <c r="V263" s="544"/>
      <c r="W263" s="543"/>
    </row>
    <row r="264" spans="1:23" s="539" customFormat="1" ht="8.1" customHeight="1" x14ac:dyDescent="0.25">
      <c r="A264" s="726" t="s">
        <v>1153</v>
      </c>
      <c r="B264" s="727"/>
      <c r="C264" s="731" t="s">
        <v>1154</v>
      </c>
      <c r="D264" s="732"/>
      <c r="E264" s="732"/>
      <c r="F264" s="732"/>
      <c r="G264" s="733"/>
      <c r="H264" s="540" t="s">
        <v>807</v>
      </c>
      <c r="I264" s="542"/>
      <c r="J264" s="542"/>
      <c r="K264" s="542"/>
      <c r="L264" s="542"/>
      <c r="M264" s="542"/>
      <c r="N264" s="542"/>
      <c r="O264" s="542"/>
      <c r="P264" s="542"/>
      <c r="Q264" s="542"/>
      <c r="R264" s="542"/>
      <c r="S264" s="542"/>
      <c r="T264" s="542"/>
      <c r="U264" s="542"/>
      <c r="V264" s="542"/>
      <c r="W264" s="540"/>
    </row>
    <row r="265" spans="1:23" s="539" customFormat="1" ht="8.1" customHeight="1" x14ac:dyDescent="0.25">
      <c r="A265" s="726" t="s">
        <v>1155</v>
      </c>
      <c r="B265" s="727"/>
      <c r="C265" s="742" t="s">
        <v>1140</v>
      </c>
      <c r="D265" s="743"/>
      <c r="E265" s="743"/>
      <c r="F265" s="743"/>
      <c r="G265" s="744"/>
      <c r="H265" s="540" t="s">
        <v>807</v>
      </c>
      <c r="I265" s="542"/>
      <c r="J265" s="542"/>
      <c r="K265" s="542"/>
      <c r="L265" s="542"/>
      <c r="M265" s="542"/>
      <c r="N265" s="542"/>
      <c r="O265" s="542"/>
      <c r="P265" s="542"/>
      <c r="Q265" s="542"/>
      <c r="R265" s="542"/>
      <c r="S265" s="542"/>
      <c r="T265" s="542"/>
      <c r="U265" s="542"/>
      <c r="V265" s="542"/>
      <c r="W265" s="540"/>
    </row>
    <row r="266" spans="1:23" s="539" customFormat="1" ht="8.1" customHeight="1" x14ac:dyDescent="0.25">
      <c r="A266" s="745" t="s">
        <v>1156</v>
      </c>
      <c r="B266" s="746"/>
      <c r="C266" s="758" t="s">
        <v>1157</v>
      </c>
      <c r="D266" s="759"/>
      <c r="E266" s="759"/>
      <c r="F266" s="759"/>
      <c r="G266" s="760"/>
      <c r="H266" s="543" t="s">
        <v>807</v>
      </c>
      <c r="I266" s="544">
        <v>0.4</v>
      </c>
      <c r="J266" s="544"/>
      <c r="K266" s="544"/>
      <c r="L266" s="544"/>
      <c r="M266" s="544"/>
      <c r="N266" s="544"/>
      <c r="O266" s="544"/>
      <c r="P266" s="544"/>
      <c r="Q266" s="544"/>
      <c r="R266" s="544"/>
      <c r="S266" s="544"/>
      <c r="T266" s="544"/>
      <c r="U266" s="544"/>
      <c r="V266" s="544"/>
      <c r="W266" s="543"/>
    </row>
    <row r="267" spans="1:23" s="539" customFormat="1" ht="8.1" customHeight="1" x14ac:dyDescent="0.25">
      <c r="A267" s="745" t="s">
        <v>1158</v>
      </c>
      <c r="B267" s="746"/>
      <c r="C267" s="761" t="s">
        <v>1140</v>
      </c>
      <c r="D267" s="762"/>
      <c r="E267" s="762"/>
      <c r="F267" s="762"/>
      <c r="G267" s="763"/>
      <c r="H267" s="543" t="s">
        <v>807</v>
      </c>
      <c r="I267" s="544">
        <v>0.4</v>
      </c>
      <c r="J267" s="544"/>
      <c r="K267" s="544"/>
      <c r="L267" s="544"/>
      <c r="M267" s="544"/>
      <c r="N267" s="544"/>
      <c r="O267" s="544"/>
      <c r="P267" s="544"/>
      <c r="Q267" s="544"/>
      <c r="R267" s="544"/>
      <c r="S267" s="544"/>
      <c r="T267" s="544"/>
      <c r="U267" s="544"/>
      <c r="V267" s="544"/>
      <c r="W267" s="543"/>
    </row>
    <row r="268" spans="1:23" s="539" customFormat="1" ht="8.1" customHeight="1" x14ac:dyDescent="0.25">
      <c r="A268" s="726" t="s">
        <v>1159</v>
      </c>
      <c r="B268" s="727"/>
      <c r="C268" s="731" t="s">
        <v>1160</v>
      </c>
      <c r="D268" s="732"/>
      <c r="E268" s="732"/>
      <c r="F268" s="732"/>
      <c r="G268" s="733"/>
      <c r="H268" s="540" t="s">
        <v>807</v>
      </c>
      <c r="I268" s="542"/>
      <c r="J268" s="542"/>
      <c r="K268" s="542"/>
      <c r="L268" s="542"/>
      <c r="M268" s="542"/>
      <c r="N268" s="542"/>
      <c r="O268" s="542"/>
      <c r="P268" s="542"/>
      <c r="Q268" s="542"/>
      <c r="R268" s="542"/>
      <c r="S268" s="542"/>
      <c r="T268" s="542"/>
      <c r="U268" s="542"/>
      <c r="V268" s="542"/>
      <c r="W268" s="540"/>
    </row>
    <row r="269" spans="1:23" s="539" customFormat="1" ht="8.1" customHeight="1" x14ac:dyDescent="0.25">
      <c r="A269" s="726" t="s">
        <v>1161</v>
      </c>
      <c r="B269" s="727"/>
      <c r="C269" s="742" t="s">
        <v>1140</v>
      </c>
      <c r="D269" s="743"/>
      <c r="E269" s="743"/>
      <c r="F269" s="743"/>
      <c r="G269" s="744"/>
      <c r="H269" s="540" t="s">
        <v>807</v>
      </c>
      <c r="I269" s="542"/>
      <c r="J269" s="542"/>
      <c r="K269" s="542"/>
      <c r="L269" s="542"/>
      <c r="M269" s="542"/>
      <c r="N269" s="542"/>
      <c r="O269" s="542"/>
      <c r="P269" s="542"/>
      <c r="Q269" s="542"/>
      <c r="R269" s="542"/>
      <c r="S269" s="542"/>
      <c r="T269" s="542"/>
      <c r="U269" s="542"/>
      <c r="V269" s="542"/>
      <c r="W269" s="540"/>
    </row>
    <row r="270" spans="1:23" s="539" customFormat="1" ht="8.1" customHeight="1" x14ac:dyDescent="0.25">
      <c r="A270" s="726" t="s">
        <v>1159</v>
      </c>
      <c r="B270" s="727"/>
      <c r="C270" s="731" t="s">
        <v>1162</v>
      </c>
      <c r="D270" s="732"/>
      <c r="E270" s="732"/>
      <c r="F270" s="732"/>
      <c r="G270" s="733"/>
      <c r="H270" s="540" t="s">
        <v>807</v>
      </c>
      <c r="I270" s="542"/>
      <c r="J270" s="542"/>
      <c r="K270" s="542"/>
      <c r="L270" s="542"/>
      <c r="M270" s="542"/>
      <c r="N270" s="542"/>
      <c r="O270" s="542"/>
      <c r="P270" s="542"/>
      <c r="Q270" s="542"/>
      <c r="R270" s="542"/>
      <c r="S270" s="542"/>
      <c r="T270" s="542"/>
      <c r="U270" s="542"/>
      <c r="V270" s="542"/>
      <c r="W270" s="540"/>
    </row>
    <row r="271" spans="1:23" s="539" customFormat="1" ht="8.1" customHeight="1" x14ac:dyDescent="0.25">
      <c r="A271" s="726" t="s">
        <v>1163</v>
      </c>
      <c r="B271" s="727"/>
      <c r="C271" s="742" t="s">
        <v>1140</v>
      </c>
      <c r="D271" s="743"/>
      <c r="E271" s="743"/>
      <c r="F271" s="743"/>
      <c r="G271" s="744"/>
      <c r="H271" s="540" t="s">
        <v>807</v>
      </c>
      <c r="I271" s="542"/>
      <c r="J271" s="542"/>
      <c r="K271" s="542"/>
      <c r="L271" s="542"/>
      <c r="M271" s="542"/>
      <c r="N271" s="542"/>
      <c r="O271" s="542"/>
      <c r="P271" s="542"/>
      <c r="Q271" s="542"/>
      <c r="R271" s="542"/>
      <c r="S271" s="542"/>
      <c r="T271" s="542"/>
      <c r="U271" s="542"/>
      <c r="V271" s="542"/>
      <c r="W271" s="540"/>
    </row>
    <row r="272" spans="1:23" s="539" customFormat="1" ht="16.5" customHeight="1" x14ac:dyDescent="0.25">
      <c r="A272" s="726" t="s">
        <v>1164</v>
      </c>
      <c r="B272" s="727"/>
      <c r="C272" s="731" t="s">
        <v>1165</v>
      </c>
      <c r="D272" s="732"/>
      <c r="E272" s="732"/>
      <c r="F272" s="732"/>
      <c r="G272" s="733"/>
      <c r="H272" s="540" t="s">
        <v>807</v>
      </c>
      <c r="I272" s="542"/>
      <c r="J272" s="542"/>
      <c r="K272" s="542"/>
      <c r="L272" s="542"/>
      <c r="M272" s="542"/>
      <c r="N272" s="542"/>
      <c r="O272" s="542"/>
      <c r="P272" s="542"/>
      <c r="Q272" s="542"/>
      <c r="R272" s="542"/>
      <c r="S272" s="542"/>
      <c r="T272" s="542"/>
      <c r="U272" s="542"/>
      <c r="V272" s="542"/>
      <c r="W272" s="540"/>
    </row>
    <row r="273" spans="1:23" s="539" customFormat="1" ht="8.1" customHeight="1" x14ac:dyDescent="0.25">
      <c r="A273" s="726" t="s">
        <v>1166</v>
      </c>
      <c r="B273" s="727"/>
      <c r="C273" s="742" t="s">
        <v>1140</v>
      </c>
      <c r="D273" s="743"/>
      <c r="E273" s="743"/>
      <c r="F273" s="743"/>
      <c r="G273" s="744"/>
      <c r="H273" s="540" t="s">
        <v>807</v>
      </c>
      <c r="I273" s="542"/>
      <c r="J273" s="542"/>
      <c r="K273" s="542"/>
      <c r="L273" s="542"/>
      <c r="M273" s="542"/>
      <c r="N273" s="542"/>
      <c r="O273" s="542"/>
      <c r="P273" s="542"/>
      <c r="Q273" s="542"/>
      <c r="R273" s="542"/>
      <c r="S273" s="542"/>
      <c r="T273" s="542"/>
      <c r="U273" s="542"/>
      <c r="V273" s="542"/>
      <c r="W273" s="540"/>
    </row>
    <row r="274" spans="1:23" s="539" customFormat="1" ht="8.1" customHeight="1" x14ac:dyDescent="0.25">
      <c r="A274" s="726" t="s">
        <v>1167</v>
      </c>
      <c r="B274" s="727"/>
      <c r="C274" s="742" t="s">
        <v>824</v>
      </c>
      <c r="D274" s="743"/>
      <c r="E274" s="743"/>
      <c r="F274" s="743"/>
      <c r="G274" s="744"/>
      <c r="H274" s="540" t="s">
        <v>807</v>
      </c>
      <c r="I274" s="542"/>
      <c r="J274" s="542"/>
      <c r="K274" s="542"/>
      <c r="L274" s="542"/>
      <c r="M274" s="542"/>
      <c r="N274" s="542"/>
      <c r="O274" s="542"/>
      <c r="P274" s="542"/>
      <c r="Q274" s="542"/>
      <c r="R274" s="542"/>
      <c r="S274" s="542"/>
      <c r="T274" s="542"/>
      <c r="U274" s="542"/>
      <c r="V274" s="542"/>
      <c r="W274" s="540"/>
    </row>
    <row r="275" spans="1:23" s="539" customFormat="1" ht="8.1" customHeight="1" x14ac:dyDescent="0.25">
      <c r="A275" s="726" t="s">
        <v>1168</v>
      </c>
      <c r="B275" s="727"/>
      <c r="C275" s="755" t="s">
        <v>1140</v>
      </c>
      <c r="D275" s="756"/>
      <c r="E275" s="756"/>
      <c r="F275" s="756"/>
      <c r="G275" s="757"/>
      <c r="H275" s="540" t="s">
        <v>807</v>
      </c>
      <c r="I275" s="542"/>
      <c r="J275" s="542"/>
      <c r="K275" s="542"/>
      <c r="L275" s="542"/>
      <c r="M275" s="542"/>
      <c r="N275" s="542"/>
      <c r="O275" s="542"/>
      <c r="P275" s="542"/>
      <c r="Q275" s="542"/>
      <c r="R275" s="542"/>
      <c r="S275" s="542"/>
      <c r="T275" s="542"/>
      <c r="U275" s="542"/>
      <c r="V275" s="542"/>
      <c r="W275" s="540"/>
    </row>
    <row r="276" spans="1:23" s="539" customFormat="1" ht="8.1" customHeight="1" x14ac:dyDescent="0.25">
      <c r="A276" s="726" t="s">
        <v>1169</v>
      </c>
      <c r="B276" s="727"/>
      <c r="C276" s="742" t="s">
        <v>826</v>
      </c>
      <c r="D276" s="743"/>
      <c r="E276" s="743"/>
      <c r="F276" s="743"/>
      <c r="G276" s="744"/>
      <c r="H276" s="540" t="s">
        <v>807</v>
      </c>
      <c r="I276" s="542"/>
      <c r="J276" s="542"/>
      <c r="K276" s="542"/>
      <c r="L276" s="542"/>
      <c r="M276" s="542"/>
      <c r="N276" s="542"/>
      <c r="O276" s="542"/>
      <c r="P276" s="542"/>
      <c r="Q276" s="542"/>
      <c r="R276" s="542"/>
      <c r="S276" s="542"/>
      <c r="T276" s="542"/>
      <c r="U276" s="542"/>
      <c r="V276" s="542"/>
      <c r="W276" s="540"/>
    </row>
    <row r="277" spans="1:23" s="539" customFormat="1" ht="8.1" customHeight="1" x14ac:dyDescent="0.25">
      <c r="A277" s="726" t="s">
        <v>1170</v>
      </c>
      <c r="B277" s="727"/>
      <c r="C277" s="755" t="s">
        <v>1140</v>
      </c>
      <c r="D277" s="756"/>
      <c r="E277" s="756"/>
      <c r="F277" s="756"/>
      <c r="G277" s="757"/>
      <c r="H277" s="540" t="s">
        <v>807</v>
      </c>
      <c r="I277" s="542"/>
      <c r="J277" s="542"/>
      <c r="K277" s="542"/>
      <c r="L277" s="542"/>
      <c r="M277" s="542"/>
      <c r="N277" s="542"/>
      <c r="O277" s="542"/>
      <c r="P277" s="542"/>
      <c r="Q277" s="542"/>
      <c r="R277" s="542"/>
      <c r="S277" s="542"/>
      <c r="T277" s="542"/>
      <c r="U277" s="542"/>
      <c r="V277" s="542"/>
      <c r="W277" s="540"/>
    </row>
    <row r="278" spans="1:23" s="539" customFormat="1" ht="8.1" customHeight="1" x14ac:dyDescent="0.25">
      <c r="A278" s="745" t="s">
        <v>1171</v>
      </c>
      <c r="B278" s="746"/>
      <c r="C278" s="758" t="s">
        <v>1172</v>
      </c>
      <c r="D278" s="759"/>
      <c r="E278" s="759"/>
      <c r="F278" s="759"/>
      <c r="G278" s="760"/>
      <c r="H278" s="543" t="s">
        <v>807</v>
      </c>
      <c r="I278" s="544"/>
      <c r="J278" s="544"/>
      <c r="K278" s="544"/>
      <c r="L278" s="544"/>
      <c r="M278" s="544"/>
      <c r="N278" s="544"/>
      <c r="O278" s="544"/>
      <c r="P278" s="544"/>
      <c r="Q278" s="544"/>
      <c r="R278" s="544"/>
      <c r="S278" s="544"/>
      <c r="T278" s="544"/>
      <c r="U278" s="544"/>
      <c r="V278" s="544"/>
      <c r="W278" s="543"/>
    </row>
    <row r="279" spans="1:23" s="539" customFormat="1" ht="8.1" customHeight="1" x14ac:dyDescent="0.25">
      <c r="A279" s="745" t="s">
        <v>1173</v>
      </c>
      <c r="B279" s="746"/>
      <c r="C279" s="761" t="s">
        <v>1140</v>
      </c>
      <c r="D279" s="762"/>
      <c r="E279" s="762"/>
      <c r="F279" s="762"/>
      <c r="G279" s="763"/>
      <c r="H279" s="543" t="s">
        <v>807</v>
      </c>
      <c r="I279" s="544"/>
      <c r="J279" s="544"/>
      <c r="K279" s="544"/>
      <c r="L279" s="544"/>
      <c r="M279" s="544"/>
      <c r="N279" s="544"/>
      <c r="O279" s="544"/>
      <c r="P279" s="544"/>
      <c r="Q279" s="544"/>
      <c r="R279" s="544"/>
      <c r="S279" s="544"/>
      <c r="T279" s="544"/>
      <c r="U279" s="544"/>
      <c r="V279" s="544"/>
      <c r="W279" s="543"/>
    </row>
    <row r="280" spans="1:23" s="539" customFormat="1" ht="8.1" customHeight="1" x14ac:dyDescent="0.25">
      <c r="A280" s="750" t="s">
        <v>1174</v>
      </c>
      <c r="B280" s="751"/>
      <c r="C280" s="798" t="s">
        <v>1175</v>
      </c>
      <c r="D280" s="799"/>
      <c r="E280" s="799"/>
      <c r="F280" s="799"/>
      <c r="G280" s="800"/>
      <c r="H280" s="548" t="s">
        <v>807</v>
      </c>
      <c r="I280" s="549">
        <v>20.334</v>
      </c>
      <c r="J280" s="549"/>
      <c r="K280" s="549"/>
      <c r="L280" s="549"/>
      <c r="M280" s="549"/>
      <c r="N280" s="549"/>
      <c r="O280" s="549"/>
      <c r="P280" s="549"/>
      <c r="Q280" s="549"/>
      <c r="R280" s="549"/>
      <c r="S280" s="549"/>
      <c r="T280" s="549"/>
      <c r="U280" s="549"/>
      <c r="V280" s="549"/>
      <c r="W280" s="548"/>
    </row>
    <row r="281" spans="1:23" s="539" customFormat="1" ht="8.1" customHeight="1" x14ac:dyDescent="0.25">
      <c r="A281" s="726" t="s">
        <v>1176</v>
      </c>
      <c r="B281" s="727"/>
      <c r="C281" s="731" t="s">
        <v>1177</v>
      </c>
      <c r="D281" s="732"/>
      <c r="E281" s="732"/>
      <c r="F281" s="732"/>
      <c r="G281" s="733"/>
      <c r="H281" s="540" t="s">
        <v>807</v>
      </c>
      <c r="I281" s="542"/>
      <c r="J281" s="542"/>
      <c r="K281" s="542"/>
      <c r="L281" s="542"/>
      <c r="M281" s="542"/>
      <c r="N281" s="542"/>
      <c r="O281" s="542"/>
      <c r="P281" s="542"/>
      <c r="Q281" s="542"/>
      <c r="R281" s="542"/>
      <c r="S281" s="542"/>
      <c r="T281" s="542"/>
      <c r="U281" s="542"/>
      <c r="V281" s="542"/>
      <c r="W281" s="540"/>
    </row>
    <row r="282" spans="1:23" s="539" customFormat="1" ht="8.1" customHeight="1" x14ac:dyDescent="0.25">
      <c r="A282" s="726" t="s">
        <v>1178</v>
      </c>
      <c r="B282" s="727"/>
      <c r="C282" s="742" t="s">
        <v>1140</v>
      </c>
      <c r="D282" s="743"/>
      <c r="E282" s="743"/>
      <c r="F282" s="743"/>
      <c r="G282" s="744"/>
      <c r="H282" s="540" t="s">
        <v>807</v>
      </c>
      <c r="I282" s="542"/>
      <c r="J282" s="542"/>
      <c r="K282" s="542"/>
      <c r="L282" s="542"/>
      <c r="M282" s="542"/>
      <c r="N282" s="542"/>
      <c r="O282" s="542"/>
      <c r="P282" s="542"/>
      <c r="Q282" s="542"/>
      <c r="R282" s="542"/>
      <c r="S282" s="542"/>
      <c r="T282" s="542"/>
      <c r="U282" s="542"/>
      <c r="V282" s="542"/>
      <c r="W282" s="540"/>
    </row>
    <row r="283" spans="1:23" s="539" customFormat="1" ht="8.1" customHeight="1" x14ac:dyDescent="0.25">
      <c r="A283" s="726" t="s">
        <v>1179</v>
      </c>
      <c r="B283" s="727"/>
      <c r="C283" s="731" t="s">
        <v>1180</v>
      </c>
      <c r="D283" s="732"/>
      <c r="E283" s="732"/>
      <c r="F283" s="732"/>
      <c r="G283" s="733"/>
      <c r="H283" s="540" t="s">
        <v>807</v>
      </c>
      <c r="I283" s="542"/>
      <c r="J283" s="542"/>
      <c r="K283" s="542"/>
      <c r="L283" s="542"/>
      <c r="M283" s="542"/>
      <c r="N283" s="542"/>
      <c r="O283" s="542"/>
      <c r="P283" s="542"/>
      <c r="Q283" s="542"/>
      <c r="R283" s="542"/>
      <c r="S283" s="542"/>
      <c r="T283" s="542"/>
      <c r="U283" s="542"/>
      <c r="V283" s="542"/>
      <c r="W283" s="540"/>
    </row>
    <row r="284" spans="1:23" s="539" customFormat="1" ht="8.1" customHeight="1" x14ac:dyDescent="0.25">
      <c r="A284" s="726" t="s">
        <v>1181</v>
      </c>
      <c r="B284" s="727"/>
      <c r="C284" s="742" t="s">
        <v>1010</v>
      </c>
      <c r="D284" s="743"/>
      <c r="E284" s="743"/>
      <c r="F284" s="743"/>
      <c r="G284" s="744"/>
      <c r="H284" s="540" t="s">
        <v>807</v>
      </c>
      <c r="I284" s="542"/>
      <c r="J284" s="542"/>
      <c r="K284" s="542"/>
      <c r="L284" s="542"/>
      <c r="M284" s="542"/>
      <c r="N284" s="542"/>
      <c r="O284" s="542"/>
      <c r="P284" s="542"/>
      <c r="Q284" s="542"/>
      <c r="R284" s="542"/>
      <c r="S284" s="542"/>
      <c r="T284" s="542"/>
      <c r="U284" s="542"/>
      <c r="V284" s="542"/>
      <c r="W284" s="540"/>
    </row>
    <row r="285" spans="1:23" s="539" customFormat="1" ht="8.1" customHeight="1" x14ac:dyDescent="0.25">
      <c r="A285" s="726" t="s">
        <v>1182</v>
      </c>
      <c r="B285" s="727"/>
      <c r="C285" s="755" t="s">
        <v>1140</v>
      </c>
      <c r="D285" s="756"/>
      <c r="E285" s="756"/>
      <c r="F285" s="756"/>
      <c r="G285" s="757"/>
      <c r="H285" s="540" t="s">
        <v>807</v>
      </c>
      <c r="I285" s="542"/>
      <c r="J285" s="542"/>
      <c r="K285" s="542"/>
      <c r="L285" s="542"/>
      <c r="M285" s="542"/>
      <c r="N285" s="542"/>
      <c r="O285" s="542"/>
      <c r="P285" s="542"/>
      <c r="Q285" s="542"/>
      <c r="R285" s="542"/>
      <c r="S285" s="542"/>
      <c r="T285" s="542"/>
      <c r="U285" s="542"/>
      <c r="V285" s="542"/>
      <c r="W285" s="540"/>
    </row>
    <row r="286" spans="1:23" s="539" customFormat="1" ht="8.1" customHeight="1" x14ac:dyDescent="0.25">
      <c r="A286" s="726" t="s">
        <v>1183</v>
      </c>
      <c r="B286" s="727"/>
      <c r="C286" s="742" t="s">
        <v>1184</v>
      </c>
      <c r="D286" s="743"/>
      <c r="E286" s="743"/>
      <c r="F286" s="743"/>
      <c r="G286" s="744"/>
      <c r="H286" s="540" t="s">
        <v>807</v>
      </c>
      <c r="I286" s="542"/>
      <c r="J286" s="542"/>
      <c r="K286" s="542"/>
      <c r="L286" s="542"/>
      <c r="M286" s="542"/>
      <c r="N286" s="542"/>
      <c r="O286" s="542"/>
      <c r="P286" s="542"/>
      <c r="Q286" s="542"/>
      <c r="R286" s="542"/>
      <c r="S286" s="542"/>
      <c r="T286" s="542"/>
      <c r="U286" s="542"/>
      <c r="V286" s="542"/>
      <c r="W286" s="540"/>
    </row>
    <row r="287" spans="1:23" s="539" customFormat="1" ht="8.1" customHeight="1" x14ac:dyDescent="0.25">
      <c r="A287" s="726" t="s">
        <v>1185</v>
      </c>
      <c r="B287" s="727"/>
      <c r="C287" s="755" t="s">
        <v>1140</v>
      </c>
      <c r="D287" s="756"/>
      <c r="E287" s="756"/>
      <c r="F287" s="756"/>
      <c r="G287" s="757"/>
      <c r="H287" s="540" t="s">
        <v>807</v>
      </c>
      <c r="I287" s="542"/>
      <c r="J287" s="542"/>
      <c r="K287" s="542"/>
      <c r="L287" s="542"/>
      <c r="M287" s="542"/>
      <c r="N287" s="542"/>
      <c r="O287" s="542"/>
      <c r="P287" s="542"/>
      <c r="Q287" s="542"/>
      <c r="R287" s="542"/>
      <c r="S287" s="542"/>
      <c r="T287" s="542"/>
      <c r="U287" s="542"/>
      <c r="V287" s="542"/>
      <c r="W287" s="540"/>
    </row>
    <row r="288" spans="1:23" s="539" customFormat="1" ht="16.5" customHeight="1" x14ac:dyDescent="0.25">
      <c r="A288" s="726" t="s">
        <v>1186</v>
      </c>
      <c r="B288" s="727"/>
      <c r="C288" s="731" t="s">
        <v>1187</v>
      </c>
      <c r="D288" s="732"/>
      <c r="E288" s="732"/>
      <c r="F288" s="732"/>
      <c r="G288" s="733"/>
      <c r="H288" s="540" t="s">
        <v>807</v>
      </c>
      <c r="I288" s="542"/>
      <c r="J288" s="542"/>
      <c r="K288" s="542"/>
      <c r="L288" s="542"/>
      <c r="M288" s="542"/>
      <c r="N288" s="542"/>
      <c r="O288" s="542"/>
      <c r="P288" s="542"/>
      <c r="Q288" s="542"/>
      <c r="R288" s="542"/>
      <c r="S288" s="542"/>
      <c r="T288" s="542"/>
      <c r="U288" s="542"/>
      <c r="V288" s="542"/>
      <c r="W288" s="540"/>
    </row>
    <row r="289" spans="1:23" s="539" customFormat="1" ht="8.1" customHeight="1" x14ac:dyDescent="0.25">
      <c r="A289" s="726" t="s">
        <v>1188</v>
      </c>
      <c r="B289" s="727"/>
      <c r="C289" s="742" t="s">
        <v>1140</v>
      </c>
      <c r="D289" s="743"/>
      <c r="E289" s="743"/>
      <c r="F289" s="743"/>
      <c r="G289" s="744"/>
      <c r="H289" s="540" t="s">
        <v>807</v>
      </c>
      <c r="I289" s="542"/>
      <c r="J289" s="542"/>
      <c r="K289" s="542"/>
      <c r="L289" s="542"/>
      <c r="M289" s="542"/>
      <c r="N289" s="542"/>
      <c r="O289" s="542"/>
      <c r="P289" s="542"/>
      <c r="Q289" s="542"/>
      <c r="R289" s="542"/>
      <c r="S289" s="542"/>
      <c r="T289" s="542"/>
      <c r="U289" s="542"/>
      <c r="V289" s="542"/>
      <c r="W289" s="540"/>
    </row>
    <row r="290" spans="1:23" s="539" customFormat="1" ht="8.1" customHeight="1" x14ac:dyDescent="0.25">
      <c r="A290" s="726" t="s">
        <v>1189</v>
      </c>
      <c r="B290" s="727"/>
      <c r="C290" s="731" t="s">
        <v>1190</v>
      </c>
      <c r="D290" s="732"/>
      <c r="E290" s="732"/>
      <c r="F290" s="732"/>
      <c r="G290" s="733"/>
      <c r="H290" s="540" t="s">
        <v>807</v>
      </c>
      <c r="I290" s="542"/>
      <c r="J290" s="542"/>
      <c r="K290" s="542"/>
      <c r="L290" s="542"/>
      <c r="M290" s="542"/>
      <c r="N290" s="542"/>
      <c r="O290" s="542"/>
      <c r="P290" s="542"/>
      <c r="Q290" s="542"/>
      <c r="R290" s="542"/>
      <c r="S290" s="542"/>
      <c r="T290" s="542"/>
      <c r="U290" s="542"/>
      <c r="V290" s="542"/>
      <c r="W290" s="540"/>
    </row>
    <row r="291" spans="1:23" s="539" customFormat="1" ht="8.1" customHeight="1" x14ac:dyDescent="0.25">
      <c r="A291" s="726" t="s">
        <v>1191</v>
      </c>
      <c r="B291" s="727"/>
      <c r="C291" s="742" t="s">
        <v>1140</v>
      </c>
      <c r="D291" s="743"/>
      <c r="E291" s="743"/>
      <c r="F291" s="743"/>
      <c r="G291" s="744"/>
      <c r="H291" s="540" t="s">
        <v>807</v>
      </c>
      <c r="I291" s="542"/>
      <c r="J291" s="542"/>
      <c r="K291" s="542"/>
      <c r="L291" s="542"/>
      <c r="M291" s="542"/>
      <c r="N291" s="542"/>
      <c r="O291" s="542"/>
      <c r="P291" s="542"/>
      <c r="Q291" s="542"/>
      <c r="R291" s="542"/>
      <c r="S291" s="542"/>
      <c r="T291" s="542"/>
      <c r="U291" s="542"/>
      <c r="V291" s="542"/>
      <c r="W291" s="540"/>
    </row>
    <row r="292" spans="1:23" s="539" customFormat="1" ht="8.1" customHeight="1" x14ac:dyDescent="0.25">
      <c r="A292" s="745" t="s">
        <v>1192</v>
      </c>
      <c r="B292" s="746"/>
      <c r="C292" s="758" t="s">
        <v>1193</v>
      </c>
      <c r="D292" s="759"/>
      <c r="E292" s="759"/>
      <c r="F292" s="759"/>
      <c r="G292" s="760"/>
      <c r="H292" s="543" t="s">
        <v>807</v>
      </c>
      <c r="I292" s="544">
        <v>0.69399999999999995</v>
      </c>
      <c r="J292" s="544"/>
      <c r="K292" s="544"/>
      <c r="L292" s="544"/>
      <c r="M292" s="544"/>
      <c r="N292" s="544"/>
      <c r="O292" s="544"/>
      <c r="P292" s="544"/>
      <c r="Q292" s="544"/>
      <c r="R292" s="544"/>
      <c r="S292" s="544"/>
      <c r="T292" s="544"/>
      <c r="U292" s="544"/>
      <c r="V292" s="544"/>
      <c r="W292" s="543"/>
    </row>
    <row r="293" spans="1:23" s="539" customFormat="1" ht="8.1" customHeight="1" x14ac:dyDescent="0.25">
      <c r="A293" s="726" t="s">
        <v>1194</v>
      </c>
      <c r="B293" s="727"/>
      <c r="C293" s="742" t="s">
        <v>1140</v>
      </c>
      <c r="D293" s="743"/>
      <c r="E293" s="743"/>
      <c r="F293" s="743"/>
      <c r="G293" s="744"/>
      <c r="H293" s="540" t="s">
        <v>807</v>
      </c>
      <c r="I293" s="542"/>
      <c r="J293" s="542"/>
      <c r="K293" s="542"/>
      <c r="L293" s="542"/>
      <c r="M293" s="542"/>
      <c r="N293" s="542"/>
      <c r="O293" s="542"/>
      <c r="P293" s="542"/>
      <c r="Q293" s="542"/>
      <c r="R293" s="542"/>
      <c r="S293" s="542"/>
      <c r="T293" s="542"/>
      <c r="U293" s="542"/>
      <c r="V293" s="542"/>
      <c r="W293" s="540"/>
    </row>
    <row r="294" spans="1:23" s="539" customFormat="1" ht="8.1" customHeight="1" x14ac:dyDescent="0.25">
      <c r="A294" s="745" t="s">
        <v>1195</v>
      </c>
      <c r="B294" s="746"/>
      <c r="C294" s="758" t="s">
        <v>1196</v>
      </c>
      <c r="D294" s="759"/>
      <c r="E294" s="759"/>
      <c r="F294" s="759"/>
      <c r="G294" s="760"/>
      <c r="H294" s="543" t="s">
        <v>807</v>
      </c>
      <c r="I294" s="544">
        <v>2.2490000000000001</v>
      </c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3"/>
    </row>
    <row r="295" spans="1:23" s="539" customFormat="1" ht="8.1" customHeight="1" x14ac:dyDescent="0.25">
      <c r="A295" s="726" t="s">
        <v>1197</v>
      </c>
      <c r="B295" s="727"/>
      <c r="C295" s="742" t="s">
        <v>1140</v>
      </c>
      <c r="D295" s="743"/>
      <c r="E295" s="743"/>
      <c r="F295" s="743"/>
      <c r="G295" s="744"/>
      <c r="H295" s="540" t="s">
        <v>807</v>
      </c>
      <c r="I295" s="542"/>
      <c r="J295" s="542"/>
      <c r="K295" s="542"/>
      <c r="L295" s="542"/>
      <c r="M295" s="542"/>
      <c r="N295" s="542"/>
      <c r="O295" s="542"/>
      <c r="P295" s="542"/>
      <c r="Q295" s="542"/>
      <c r="R295" s="542"/>
      <c r="S295" s="542"/>
      <c r="T295" s="542"/>
      <c r="U295" s="542"/>
      <c r="V295" s="542"/>
      <c r="W295" s="540"/>
    </row>
    <row r="296" spans="1:23" s="539" customFormat="1" ht="8.1" customHeight="1" x14ac:dyDescent="0.25">
      <c r="A296" s="745" t="s">
        <v>1198</v>
      </c>
      <c r="B296" s="746"/>
      <c r="C296" s="758" t="s">
        <v>1199</v>
      </c>
      <c r="D296" s="759"/>
      <c r="E296" s="759"/>
      <c r="F296" s="759"/>
      <c r="G296" s="760"/>
      <c r="H296" s="543" t="s">
        <v>807</v>
      </c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3"/>
    </row>
    <row r="297" spans="1:23" s="539" customFormat="1" ht="8.1" customHeight="1" x14ac:dyDescent="0.25">
      <c r="A297" s="726" t="s">
        <v>1200</v>
      </c>
      <c r="B297" s="727"/>
      <c r="C297" s="742" t="s">
        <v>1140</v>
      </c>
      <c r="D297" s="743"/>
      <c r="E297" s="743"/>
      <c r="F297" s="743"/>
      <c r="G297" s="744"/>
      <c r="H297" s="540" t="s">
        <v>807</v>
      </c>
      <c r="I297" s="542"/>
      <c r="J297" s="542"/>
      <c r="K297" s="542"/>
      <c r="L297" s="542"/>
      <c r="M297" s="542"/>
      <c r="N297" s="542"/>
      <c r="O297" s="542"/>
      <c r="P297" s="542"/>
      <c r="Q297" s="542"/>
      <c r="R297" s="542"/>
      <c r="S297" s="542"/>
      <c r="T297" s="542"/>
      <c r="U297" s="542"/>
      <c r="V297" s="542"/>
      <c r="W297" s="540"/>
    </row>
    <row r="298" spans="1:23" s="539" customFormat="1" ht="16.5" customHeight="1" x14ac:dyDescent="0.25">
      <c r="A298" s="745" t="s">
        <v>1201</v>
      </c>
      <c r="B298" s="746"/>
      <c r="C298" s="758" t="s">
        <v>1202</v>
      </c>
      <c r="D298" s="759"/>
      <c r="E298" s="759"/>
      <c r="F298" s="759"/>
      <c r="G298" s="760"/>
      <c r="H298" s="543" t="s">
        <v>807</v>
      </c>
      <c r="I298" s="544"/>
      <c r="J298" s="544"/>
      <c r="K298" s="544"/>
      <c r="L298" s="544"/>
      <c r="M298" s="544"/>
      <c r="N298" s="544"/>
      <c r="O298" s="544"/>
      <c r="P298" s="544"/>
      <c r="Q298" s="544"/>
      <c r="R298" s="544"/>
      <c r="S298" s="544"/>
      <c r="T298" s="544"/>
      <c r="U298" s="544"/>
      <c r="V298" s="544"/>
      <c r="W298" s="543"/>
    </row>
    <row r="299" spans="1:23" s="539" customFormat="1" ht="8.1" customHeight="1" x14ac:dyDescent="0.25">
      <c r="A299" s="726" t="s">
        <v>1203</v>
      </c>
      <c r="B299" s="727"/>
      <c r="C299" s="742" t="s">
        <v>1140</v>
      </c>
      <c r="D299" s="743"/>
      <c r="E299" s="743"/>
      <c r="F299" s="743"/>
      <c r="G299" s="744"/>
      <c r="H299" s="540" t="s">
        <v>807</v>
      </c>
      <c r="I299" s="542"/>
      <c r="J299" s="542"/>
      <c r="K299" s="542"/>
      <c r="L299" s="542"/>
      <c r="M299" s="542"/>
      <c r="N299" s="542"/>
      <c r="O299" s="542"/>
      <c r="P299" s="542"/>
      <c r="Q299" s="542"/>
      <c r="R299" s="542"/>
      <c r="S299" s="542"/>
      <c r="T299" s="542"/>
      <c r="U299" s="542"/>
      <c r="V299" s="542"/>
      <c r="W299" s="540"/>
    </row>
    <row r="300" spans="1:23" s="539" customFormat="1" ht="8.1" customHeight="1" x14ac:dyDescent="0.25">
      <c r="A300" s="745" t="s">
        <v>1204</v>
      </c>
      <c r="B300" s="746"/>
      <c r="C300" s="758" t="s">
        <v>1205</v>
      </c>
      <c r="D300" s="759"/>
      <c r="E300" s="759"/>
      <c r="F300" s="759"/>
      <c r="G300" s="760"/>
      <c r="H300" s="543" t="s">
        <v>807</v>
      </c>
      <c r="I300" s="544"/>
      <c r="J300" s="544"/>
      <c r="K300" s="544"/>
      <c r="L300" s="544"/>
      <c r="M300" s="544"/>
      <c r="N300" s="544"/>
      <c r="O300" s="544"/>
      <c r="P300" s="544"/>
      <c r="Q300" s="544"/>
      <c r="R300" s="544"/>
      <c r="S300" s="544"/>
      <c r="T300" s="544"/>
      <c r="U300" s="544"/>
      <c r="V300" s="544"/>
      <c r="W300" s="543"/>
    </row>
    <row r="301" spans="1:23" s="539" customFormat="1" ht="8.1" customHeight="1" x14ac:dyDescent="0.25">
      <c r="A301" s="726" t="s">
        <v>1206</v>
      </c>
      <c r="B301" s="727"/>
      <c r="C301" s="742" t="s">
        <v>1140</v>
      </c>
      <c r="D301" s="743"/>
      <c r="E301" s="743"/>
      <c r="F301" s="743"/>
      <c r="G301" s="744"/>
      <c r="H301" s="540" t="s">
        <v>807</v>
      </c>
      <c r="I301" s="542"/>
      <c r="J301" s="542"/>
      <c r="K301" s="542"/>
      <c r="L301" s="542"/>
      <c r="M301" s="542"/>
      <c r="N301" s="542"/>
      <c r="O301" s="542"/>
      <c r="P301" s="542"/>
      <c r="Q301" s="542"/>
      <c r="R301" s="542"/>
      <c r="S301" s="542"/>
      <c r="T301" s="542"/>
      <c r="U301" s="542"/>
      <c r="V301" s="542"/>
      <c r="W301" s="540"/>
    </row>
    <row r="302" spans="1:23" s="539" customFormat="1" ht="17.100000000000001" customHeight="1" x14ac:dyDescent="0.25">
      <c r="A302" s="750" t="s">
        <v>1207</v>
      </c>
      <c r="B302" s="751"/>
      <c r="C302" s="798" t="s">
        <v>1208</v>
      </c>
      <c r="D302" s="799"/>
      <c r="E302" s="799"/>
      <c r="F302" s="799"/>
      <c r="G302" s="800"/>
      <c r="H302" s="548" t="s">
        <v>1209</v>
      </c>
      <c r="I302" s="566">
        <f t="shared" ref="I302:W302" si="189">I164/(I20*1.2)*100</f>
        <v>98.338263190972881</v>
      </c>
      <c r="J302" s="566">
        <f t="shared" si="189"/>
        <v>100</v>
      </c>
      <c r="K302" s="566">
        <f t="shared" si="189"/>
        <v>100</v>
      </c>
      <c r="L302" s="566">
        <f t="shared" si="189"/>
        <v>100</v>
      </c>
      <c r="M302" s="566" t="e">
        <f>M164/(M20*1.2)*100</f>
        <v>#DIV/0!</v>
      </c>
      <c r="N302" s="566">
        <f t="shared" si="189"/>
        <v>100</v>
      </c>
      <c r="O302" s="566" t="e">
        <f t="shared" si="189"/>
        <v>#DIV/0!</v>
      </c>
      <c r="P302" s="566">
        <f t="shared" si="189"/>
        <v>100</v>
      </c>
      <c r="Q302" s="566" t="e">
        <f t="shared" si="189"/>
        <v>#DIV/0!</v>
      </c>
      <c r="R302" s="566">
        <f t="shared" si="189"/>
        <v>100</v>
      </c>
      <c r="S302" s="566" t="e">
        <f t="shared" si="189"/>
        <v>#DIV/0!</v>
      </c>
      <c r="T302" s="566">
        <f t="shared" si="189"/>
        <v>100</v>
      </c>
      <c r="U302" s="566" t="e">
        <f t="shared" si="189"/>
        <v>#DIV/0!</v>
      </c>
      <c r="V302" s="566">
        <f t="shared" si="189"/>
        <v>100</v>
      </c>
      <c r="W302" s="566" t="e">
        <f t="shared" si="189"/>
        <v>#DIV/0!</v>
      </c>
    </row>
    <row r="303" spans="1:23" s="539" customFormat="1" ht="8.1" customHeight="1" x14ac:dyDescent="0.25">
      <c r="A303" s="726" t="s">
        <v>1210</v>
      </c>
      <c r="B303" s="727"/>
      <c r="C303" s="731" t="s">
        <v>1211</v>
      </c>
      <c r="D303" s="732"/>
      <c r="E303" s="732"/>
      <c r="F303" s="732"/>
      <c r="G303" s="733"/>
      <c r="H303" s="540" t="s">
        <v>1209</v>
      </c>
      <c r="I303" s="567"/>
      <c r="J303" s="567"/>
      <c r="K303" s="567"/>
      <c r="L303" s="567"/>
      <c r="M303" s="567"/>
      <c r="N303" s="567"/>
      <c r="O303" s="567"/>
      <c r="P303" s="567"/>
      <c r="Q303" s="567"/>
      <c r="R303" s="567"/>
      <c r="S303" s="567"/>
      <c r="T303" s="567"/>
      <c r="U303" s="567"/>
      <c r="V303" s="567"/>
      <c r="W303" s="568"/>
    </row>
    <row r="304" spans="1:23" s="539" customFormat="1" ht="17.100000000000001" customHeight="1" x14ac:dyDescent="0.25">
      <c r="A304" s="726" t="s">
        <v>1212</v>
      </c>
      <c r="B304" s="727"/>
      <c r="C304" s="731" t="s">
        <v>1213</v>
      </c>
      <c r="D304" s="732"/>
      <c r="E304" s="732"/>
      <c r="F304" s="732"/>
      <c r="G304" s="733"/>
      <c r="H304" s="540" t="s">
        <v>1209</v>
      </c>
      <c r="I304" s="567"/>
      <c r="J304" s="567"/>
      <c r="K304" s="567"/>
      <c r="L304" s="567"/>
      <c r="M304" s="567"/>
      <c r="N304" s="567"/>
      <c r="O304" s="567"/>
      <c r="P304" s="567"/>
      <c r="Q304" s="567"/>
      <c r="R304" s="567"/>
      <c r="S304" s="567"/>
      <c r="T304" s="567"/>
      <c r="U304" s="567"/>
      <c r="V304" s="567"/>
      <c r="W304" s="568"/>
    </row>
    <row r="305" spans="1:23" s="539" customFormat="1" ht="17.100000000000001" customHeight="1" x14ac:dyDescent="0.25">
      <c r="A305" s="726" t="s">
        <v>1214</v>
      </c>
      <c r="B305" s="727"/>
      <c r="C305" s="731" t="s">
        <v>1215</v>
      </c>
      <c r="D305" s="732"/>
      <c r="E305" s="732"/>
      <c r="F305" s="732"/>
      <c r="G305" s="733"/>
      <c r="H305" s="540" t="s">
        <v>1209</v>
      </c>
      <c r="I305" s="567"/>
      <c r="J305" s="567"/>
      <c r="K305" s="567"/>
      <c r="L305" s="567"/>
      <c r="M305" s="567"/>
      <c r="N305" s="567"/>
      <c r="O305" s="567"/>
      <c r="P305" s="567"/>
      <c r="Q305" s="567"/>
      <c r="R305" s="567"/>
      <c r="S305" s="567"/>
      <c r="T305" s="567"/>
      <c r="U305" s="567"/>
      <c r="V305" s="567"/>
      <c r="W305" s="568"/>
    </row>
    <row r="306" spans="1:23" s="539" customFormat="1" ht="17.100000000000001" customHeight="1" x14ac:dyDescent="0.25">
      <c r="A306" s="726" t="s">
        <v>1216</v>
      </c>
      <c r="B306" s="727"/>
      <c r="C306" s="731" t="s">
        <v>1217</v>
      </c>
      <c r="D306" s="732"/>
      <c r="E306" s="732"/>
      <c r="F306" s="732"/>
      <c r="G306" s="733"/>
      <c r="H306" s="540" t="s">
        <v>1209</v>
      </c>
      <c r="I306" s="567"/>
      <c r="J306" s="567"/>
      <c r="K306" s="567"/>
      <c r="L306" s="567"/>
      <c r="M306" s="567"/>
      <c r="N306" s="567"/>
      <c r="O306" s="567"/>
      <c r="P306" s="567"/>
      <c r="Q306" s="567"/>
      <c r="R306" s="567"/>
      <c r="S306" s="567"/>
      <c r="T306" s="567"/>
      <c r="U306" s="567"/>
      <c r="V306" s="567"/>
      <c r="W306" s="568"/>
    </row>
    <row r="307" spans="1:23" s="539" customFormat="1" ht="8.1" customHeight="1" x14ac:dyDescent="0.25">
      <c r="A307" s="726" t="s">
        <v>1218</v>
      </c>
      <c r="B307" s="727"/>
      <c r="C307" s="731" t="s">
        <v>1219</v>
      </c>
      <c r="D307" s="732"/>
      <c r="E307" s="732"/>
      <c r="F307" s="732"/>
      <c r="G307" s="733"/>
      <c r="H307" s="540" t="s">
        <v>1209</v>
      </c>
      <c r="I307" s="567"/>
      <c r="J307" s="567"/>
      <c r="K307" s="567"/>
      <c r="L307" s="567"/>
      <c r="M307" s="567"/>
      <c r="N307" s="567"/>
      <c r="O307" s="567"/>
      <c r="P307" s="567"/>
      <c r="Q307" s="567"/>
      <c r="R307" s="567"/>
      <c r="S307" s="567"/>
      <c r="T307" s="567"/>
      <c r="U307" s="567"/>
      <c r="V307" s="567"/>
      <c r="W307" s="568"/>
    </row>
    <row r="308" spans="1:23" s="539" customFormat="1" ht="8.1" customHeight="1" x14ac:dyDescent="0.25">
      <c r="A308" s="745" t="s">
        <v>1220</v>
      </c>
      <c r="B308" s="746"/>
      <c r="C308" s="758" t="s">
        <v>1221</v>
      </c>
      <c r="D308" s="759"/>
      <c r="E308" s="759"/>
      <c r="F308" s="759"/>
      <c r="G308" s="760"/>
      <c r="H308" s="543" t="s">
        <v>1209</v>
      </c>
      <c r="I308" s="569">
        <f t="shared" ref="I308:W308" si="190">I170/I26/1.2*100</f>
        <v>90.362826449777884</v>
      </c>
      <c r="J308" s="569">
        <f t="shared" si="190"/>
        <v>100</v>
      </c>
      <c r="K308" s="569">
        <f t="shared" si="190"/>
        <v>100</v>
      </c>
      <c r="L308" s="569">
        <f t="shared" si="190"/>
        <v>100</v>
      </c>
      <c r="M308" s="569" t="e">
        <f>M170/M26/1.2*100</f>
        <v>#DIV/0!</v>
      </c>
      <c r="N308" s="569">
        <f t="shared" si="190"/>
        <v>100</v>
      </c>
      <c r="O308" s="569" t="e">
        <f t="shared" si="190"/>
        <v>#DIV/0!</v>
      </c>
      <c r="P308" s="569">
        <f t="shared" si="190"/>
        <v>100</v>
      </c>
      <c r="Q308" s="569" t="e">
        <f t="shared" si="190"/>
        <v>#DIV/0!</v>
      </c>
      <c r="R308" s="569">
        <f t="shared" si="190"/>
        <v>100</v>
      </c>
      <c r="S308" s="569" t="e">
        <f t="shared" si="190"/>
        <v>#DIV/0!</v>
      </c>
      <c r="T308" s="569">
        <f t="shared" si="190"/>
        <v>100</v>
      </c>
      <c r="U308" s="569" t="e">
        <f t="shared" si="190"/>
        <v>#DIV/0!</v>
      </c>
      <c r="V308" s="569">
        <f t="shared" si="190"/>
        <v>100</v>
      </c>
      <c r="W308" s="569" t="e">
        <f t="shared" si="190"/>
        <v>#DIV/0!</v>
      </c>
    </row>
    <row r="309" spans="1:23" s="539" customFormat="1" ht="8.1" customHeight="1" x14ac:dyDescent="0.25">
      <c r="A309" s="726" t="s">
        <v>1222</v>
      </c>
      <c r="B309" s="727"/>
      <c r="C309" s="731" t="s">
        <v>1223</v>
      </c>
      <c r="D309" s="732"/>
      <c r="E309" s="732"/>
      <c r="F309" s="732"/>
      <c r="G309" s="733"/>
      <c r="H309" s="540" t="s">
        <v>1209</v>
      </c>
      <c r="I309" s="542"/>
      <c r="J309" s="542"/>
      <c r="K309" s="542"/>
      <c r="L309" s="542"/>
      <c r="M309" s="542"/>
      <c r="N309" s="542"/>
      <c r="O309" s="542"/>
      <c r="P309" s="542"/>
      <c r="Q309" s="542"/>
      <c r="R309" s="542"/>
      <c r="S309" s="542"/>
      <c r="T309" s="542"/>
      <c r="U309" s="542"/>
      <c r="V309" s="542"/>
      <c r="W309" s="540"/>
    </row>
    <row r="310" spans="1:23" s="539" customFormat="1" ht="8.1" customHeight="1" x14ac:dyDescent="0.25">
      <c r="A310" s="726" t="s">
        <v>1224</v>
      </c>
      <c r="B310" s="727"/>
      <c r="C310" s="731" t="s">
        <v>1225</v>
      </c>
      <c r="D310" s="732"/>
      <c r="E310" s="732"/>
      <c r="F310" s="732"/>
      <c r="G310" s="733"/>
      <c r="H310" s="540" t="s">
        <v>1209</v>
      </c>
      <c r="I310" s="542"/>
      <c r="J310" s="542"/>
      <c r="K310" s="542"/>
      <c r="L310" s="542"/>
      <c r="M310" s="542"/>
      <c r="N310" s="542"/>
      <c r="O310" s="542"/>
      <c r="P310" s="542"/>
      <c r="Q310" s="542"/>
      <c r="R310" s="542"/>
      <c r="S310" s="542"/>
      <c r="T310" s="542"/>
      <c r="U310" s="542"/>
      <c r="V310" s="542"/>
      <c r="W310" s="540"/>
    </row>
    <row r="311" spans="1:23" s="539" customFormat="1" ht="8.1" customHeight="1" x14ac:dyDescent="0.25">
      <c r="A311" s="726" t="s">
        <v>1226</v>
      </c>
      <c r="B311" s="727"/>
      <c r="C311" s="731" t="s">
        <v>1227</v>
      </c>
      <c r="D311" s="732"/>
      <c r="E311" s="732"/>
      <c r="F311" s="732"/>
      <c r="G311" s="733"/>
      <c r="H311" s="540" t="s">
        <v>1209</v>
      </c>
      <c r="I311" s="542"/>
      <c r="J311" s="542"/>
      <c r="K311" s="542"/>
      <c r="L311" s="542"/>
      <c r="M311" s="542"/>
      <c r="N311" s="542"/>
      <c r="O311" s="542"/>
      <c r="P311" s="542"/>
      <c r="Q311" s="542"/>
      <c r="R311" s="542"/>
      <c r="S311" s="542"/>
      <c r="T311" s="542"/>
      <c r="U311" s="542"/>
      <c r="V311" s="542"/>
      <c r="W311" s="540"/>
    </row>
    <row r="312" spans="1:23" s="539" customFormat="1" ht="16.5" customHeight="1" x14ac:dyDescent="0.25">
      <c r="A312" s="726" t="s">
        <v>1228</v>
      </c>
      <c r="B312" s="727"/>
      <c r="C312" s="731" t="s">
        <v>1229</v>
      </c>
      <c r="D312" s="732"/>
      <c r="E312" s="732"/>
      <c r="F312" s="732"/>
      <c r="G312" s="733"/>
      <c r="H312" s="540" t="s">
        <v>1209</v>
      </c>
      <c r="I312" s="542"/>
      <c r="J312" s="542"/>
      <c r="K312" s="542"/>
      <c r="L312" s="542"/>
      <c r="M312" s="542"/>
      <c r="N312" s="542"/>
      <c r="O312" s="542"/>
      <c r="P312" s="542"/>
      <c r="Q312" s="542"/>
      <c r="R312" s="542"/>
      <c r="S312" s="542"/>
      <c r="T312" s="542"/>
      <c r="U312" s="542"/>
      <c r="V312" s="542"/>
      <c r="W312" s="540"/>
    </row>
    <row r="313" spans="1:23" s="539" customFormat="1" ht="8.1" customHeight="1" x14ac:dyDescent="0.25">
      <c r="A313" s="726" t="s">
        <v>1230</v>
      </c>
      <c r="B313" s="727"/>
      <c r="C313" s="742" t="s">
        <v>824</v>
      </c>
      <c r="D313" s="743"/>
      <c r="E313" s="743"/>
      <c r="F313" s="743"/>
      <c r="G313" s="744"/>
      <c r="H313" s="540" t="s">
        <v>1209</v>
      </c>
      <c r="I313" s="542"/>
      <c r="J313" s="542"/>
      <c r="K313" s="542"/>
      <c r="L313" s="542"/>
      <c r="M313" s="542"/>
      <c r="N313" s="542"/>
      <c r="O313" s="542"/>
      <c r="P313" s="542"/>
      <c r="Q313" s="542"/>
      <c r="R313" s="542"/>
      <c r="S313" s="542"/>
      <c r="T313" s="542"/>
      <c r="U313" s="542"/>
      <c r="V313" s="542"/>
      <c r="W313" s="540"/>
    </row>
    <row r="314" spans="1:23" s="539" customFormat="1" ht="9" customHeight="1" thickBot="1" x14ac:dyDescent="0.3">
      <c r="A314" s="721" t="s">
        <v>1231</v>
      </c>
      <c r="B314" s="722"/>
      <c r="C314" s="801" t="s">
        <v>826</v>
      </c>
      <c r="D314" s="802"/>
      <c r="E314" s="802"/>
      <c r="F314" s="802"/>
      <c r="G314" s="803"/>
      <c r="H314" s="559" t="s">
        <v>1209</v>
      </c>
      <c r="I314" s="560"/>
      <c r="J314" s="560"/>
      <c r="K314" s="560"/>
      <c r="L314" s="560"/>
      <c r="M314" s="560"/>
      <c r="N314" s="560"/>
      <c r="O314" s="560"/>
      <c r="P314" s="560"/>
      <c r="Q314" s="560"/>
      <c r="R314" s="560"/>
      <c r="S314" s="560"/>
      <c r="T314" s="560"/>
      <c r="U314" s="560"/>
      <c r="V314" s="560"/>
      <c r="W314" s="559"/>
    </row>
    <row r="315" spans="1:23" s="539" customFormat="1" ht="10.5" customHeight="1" thickBot="1" x14ac:dyDescent="0.25">
      <c r="A315" s="804" t="s">
        <v>1232</v>
      </c>
      <c r="B315" s="805"/>
      <c r="C315" s="805"/>
      <c r="D315" s="805"/>
      <c r="E315" s="805"/>
      <c r="F315" s="805"/>
      <c r="G315" s="805"/>
      <c r="H315" s="805"/>
      <c r="I315" s="805"/>
      <c r="J315" s="805"/>
      <c r="K315" s="805"/>
      <c r="L315" s="805"/>
      <c r="M315" s="805"/>
      <c r="N315" s="805"/>
      <c r="O315" s="805"/>
      <c r="P315" s="805"/>
      <c r="Q315" s="805"/>
      <c r="R315" s="805"/>
      <c r="S315" s="805"/>
      <c r="T315" s="805"/>
      <c r="U315" s="805"/>
      <c r="V315" s="805"/>
      <c r="W315" s="806"/>
    </row>
    <row r="316" spans="1:23" s="539" customFormat="1" ht="9.75" customHeight="1" x14ac:dyDescent="0.25">
      <c r="A316" s="726" t="s">
        <v>1233</v>
      </c>
      <c r="B316" s="727"/>
      <c r="C316" s="795" t="s">
        <v>1234</v>
      </c>
      <c r="D316" s="796"/>
      <c r="E316" s="796"/>
      <c r="F316" s="796"/>
      <c r="G316" s="797"/>
      <c r="H316" s="540" t="s">
        <v>121</v>
      </c>
      <c r="I316" s="541" t="s">
        <v>1235</v>
      </c>
      <c r="J316" s="542" t="s">
        <v>1235</v>
      </c>
      <c r="K316" s="542" t="s">
        <v>1235</v>
      </c>
      <c r="L316" s="542" t="s">
        <v>1235</v>
      </c>
      <c r="M316" s="542" t="s">
        <v>1235</v>
      </c>
      <c r="N316" s="542" t="s">
        <v>1235</v>
      </c>
      <c r="O316" s="542" t="s">
        <v>1235</v>
      </c>
      <c r="P316" s="542" t="s">
        <v>1235</v>
      </c>
      <c r="Q316" s="542" t="s">
        <v>1235</v>
      </c>
      <c r="R316" s="542" t="s">
        <v>1235</v>
      </c>
      <c r="S316" s="542" t="s">
        <v>1235</v>
      </c>
      <c r="T316" s="542" t="s">
        <v>1235</v>
      </c>
      <c r="U316" s="542" t="s">
        <v>1235</v>
      </c>
      <c r="V316" s="542" t="s">
        <v>1235</v>
      </c>
      <c r="W316" s="540" t="s">
        <v>1235</v>
      </c>
    </row>
    <row r="317" spans="1:23" s="539" customFormat="1" ht="8.25" customHeight="1" x14ac:dyDescent="0.25">
      <c r="A317" s="726" t="s">
        <v>1236</v>
      </c>
      <c r="B317" s="727"/>
      <c r="C317" s="728" t="s">
        <v>1237</v>
      </c>
      <c r="D317" s="729"/>
      <c r="E317" s="729"/>
      <c r="F317" s="729"/>
      <c r="G317" s="730"/>
      <c r="H317" s="540" t="s">
        <v>240</v>
      </c>
      <c r="I317" s="541"/>
      <c r="J317" s="542"/>
      <c r="K317" s="542"/>
      <c r="L317" s="542"/>
      <c r="M317" s="542"/>
      <c r="N317" s="542"/>
      <c r="O317" s="542"/>
      <c r="P317" s="542"/>
      <c r="Q317" s="542"/>
      <c r="R317" s="542"/>
      <c r="S317" s="542"/>
      <c r="T317" s="542"/>
      <c r="U317" s="542"/>
      <c r="V317" s="542"/>
      <c r="W317" s="540"/>
    </row>
    <row r="318" spans="1:23" s="539" customFormat="1" ht="8.25" customHeight="1" x14ac:dyDescent="0.25">
      <c r="A318" s="726" t="s">
        <v>1238</v>
      </c>
      <c r="B318" s="727"/>
      <c r="C318" s="728" t="s">
        <v>1239</v>
      </c>
      <c r="D318" s="729"/>
      <c r="E318" s="729"/>
      <c r="F318" s="729"/>
      <c r="G318" s="730"/>
      <c r="H318" s="540" t="s">
        <v>1240</v>
      </c>
      <c r="I318" s="541"/>
      <c r="J318" s="542"/>
      <c r="K318" s="542"/>
      <c r="L318" s="542"/>
      <c r="M318" s="542"/>
      <c r="N318" s="542"/>
      <c r="O318" s="542"/>
      <c r="P318" s="542"/>
      <c r="Q318" s="542"/>
      <c r="R318" s="542"/>
      <c r="S318" s="542"/>
      <c r="T318" s="542"/>
      <c r="U318" s="542"/>
      <c r="V318" s="542"/>
      <c r="W318" s="540"/>
    </row>
    <row r="319" spans="1:23" s="539" customFormat="1" ht="8.25" customHeight="1" x14ac:dyDescent="0.25">
      <c r="A319" s="726" t="s">
        <v>1241</v>
      </c>
      <c r="B319" s="727"/>
      <c r="C319" s="728" t="s">
        <v>1242</v>
      </c>
      <c r="D319" s="729"/>
      <c r="E319" s="729"/>
      <c r="F319" s="729"/>
      <c r="G319" s="730"/>
      <c r="H319" s="540" t="s">
        <v>240</v>
      </c>
      <c r="I319" s="541"/>
      <c r="J319" s="542"/>
      <c r="K319" s="542"/>
      <c r="L319" s="542"/>
      <c r="M319" s="542"/>
      <c r="N319" s="542"/>
      <c r="O319" s="542"/>
      <c r="P319" s="542"/>
      <c r="Q319" s="542"/>
      <c r="R319" s="542"/>
      <c r="S319" s="542"/>
      <c r="T319" s="542"/>
      <c r="U319" s="542"/>
      <c r="V319" s="542"/>
      <c r="W319" s="540"/>
    </row>
    <row r="320" spans="1:23" s="539" customFormat="1" ht="8.25" customHeight="1" x14ac:dyDescent="0.25">
      <c r="A320" s="726" t="s">
        <v>1243</v>
      </c>
      <c r="B320" s="727"/>
      <c r="C320" s="728" t="s">
        <v>1244</v>
      </c>
      <c r="D320" s="729"/>
      <c r="E320" s="729"/>
      <c r="F320" s="729"/>
      <c r="G320" s="730"/>
      <c r="H320" s="540" t="s">
        <v>1240</v>
      </c>
      <c r="I320" s="541"/>
      <c r="J320" s="542"/>
      <c r="K320" s="542"/>
      <c r="L320" s="542"/>
      <c r="M320" s="542"/>
      <c r="N320" s="542"/>
      <c r="O320" s="542"/>
      <c r="P320" s="542"/>
      <c r="Q320" s="542"/>
      <c r="R320" s="542"/>
      <c r="S320" s="542"/>
      <c r="T320" s="542"/>
      <c r="U320" s="542"/>
      <c r="V320" s="542"/>
      <c r="W320" s="540"/>
    </row>
    <row r="321" spans="1:23" s="539" customFormat="1" ht="8.25" customHeight="1" x14ac:dyDescent="0.25">
      <c r="A321" s="726" t="s">
        <v>1245</v>
      </c>
      <c r="B321" s="727"/>
      <c r="C321" s="728" t="s">
        <v>1246</v>
      </c>
      <c r="D321" s="729"/>
      <c r="E321" s="729"/>
      <c r="F321" s="729"/>
      <c r="G321" s="730"/>
      <c r="H321" s="540" t="s">
        <v>1247</v>
      </c>
      <c r="I321" s="541"/>
      <c r="J321" s="542"/>
      <c r="K321" s="542"/>
      <c r="L321" s="542"/>
      <c r="M321" s="542"/>
      <c r="N321" s="542"/>
      <c r="O321" s="542"/>
      <c r="P321" s="542"/>
      <c r="Q321" s="542"/>
      <c r="R321" s="542"/>
      <c r="S321" s="542"/>
      <c r="T321" s="542"/>
      <c r="U321" s="542"/>
      <c r="V321" s="542"/>
      <c r="W321" s="540"/>
    </row>
    <row r="322" spans="1:23" s="539" customFormat="1" ht="8.25" customHeight="1" x14ac:dyDescent="0.25">
      <c r="A322" s="726" t="s">
        <v>1248</v>
      </c>
      <c r="B322" s="727"/>
      <c r="C322" s="728" t="s">
        <v>1249</v>
      </c>
      <c r="D322" s="729"/>
      <c r="E322" s="729"/>
      <c r="F322" s="729"/>
      <c r="G322" s="730"/>
      <c r="H322" s="540" t="s">
        <v>121</v>
      </c>
      <c r="I322" s="541" t="s">
        <v>1235</v>
      </c>
      <c r="J322" s="542" t="s">
        <v>1235</v>
      </c>
      <c r="K322" s="542" t="s">
        <v>1235</v>
      </c>
      <c r="L322" s="542" t="s">
        <v>1235</v>
      </c>
      <c r="M322" s="542" t="s">
        <v>1235</v>
      </c>
      <c r="N322" s="542" t="s">
        <v>1235</v>
      </c>
      <c r="O322" s="542" t="s">
        <v>1235</v>
      </c>
      <c r="P322" s="542" t="s">
        <v>1235</v>
      </c>
      <c r="Q322" s="542" t="s">
        <v>1235</v>
      </c>
      <c r="R322" s="542" t="s">
        <v>1235</v>
      </c>
      <c r="S322" s="542" t="s">
        <v>1235</v>
      </c>
      <c r="T322" s="542" t="s">
        <v>1235</v>
      </c>
      <c r="U322" s="542" t="s">
        <v>1235</v>
      </c>
      <c r="V322" s="542" t="s">
        <v>1235</v>
      </c>
      <c r="W322" s="540" t="s">
        <v>1235</v>
      </c>
    </row>
    <row r="323" spans="1:23" s="539" customFormat="1" ht="8.1" customHeight="1" x14ac:dyDescent="0.25">
      <c r="A323" s="726" t="s">
        <v>1250</v>
      </c>
      <c r="B323" s="727"/>
      <c r="C323" s="731" t="s">
        <v>1251</v>
      </c>
      <c r="D323" s="732"/>
      <c r="E323" s="732"/>
      <c r="F323" s="732"/>
      <c r="G323" s="733"/>
      <c r="H323" s="540" t="s">
        <v>1247</v>
      </c>
      <c r="I323" s="541"/>
      <c r="J323" s="542"/>
      <c r="K323" s="542"/>
      <c r="L323" s="542"/>
      <c r="M323" s="542"/>
      <c r="N323" s="542"/>
      <c r="O323" s="542"/>
      <c r="P323" s="542"/>
      <c r="Q323" s="542"/>
      <c r="R323" s="542"/>
      <c r="S323" s="542"/>
      <c r="T323" s="542"/>
      <c r="U323" s="542"/>
      <c r="V323" s="542"/>
      <c r="W323" s="540"/>
    </row>
    <row r="324" spans="1:23" s="539" customFormat="1" ht="8.1" customHeight="1" x14ac:dyDescent="0.25">
      <c r="A324" s="726" t="s">
        <v>1252</v>
      </c>
      <c r="B324" s="727"/>
      <c r="C324" s="731" t="s">
        <v>1253</v>
      </c>
      <c r="D324" s="732"/>
      <c r="E324" s="732"/>
      <c r="F324" s="732"/>
      <c r="G324" s="733"/>
      <c r="H324" s="540" t="s">
        <v>1254</v>
      </c>
      <c r="I324" s="541"/>
      <c r="J324" s="542"/>
      <c r="K324" s="542"/>
      <c r="L324" s="542"/>
      <c r="M324" s="542"/>
      <c r="N324" s="542"/>
      <c r="O324" s="542"/>
      <c r="P324" s="542"/>
      <c r="Q324" s="542"/>
      <c r="R324" s="542"/>
      <c r="S324" s="542"/>
      <c r="T324" s="542"/>
      <c r="U324" s="542"/>
      <c r="V324" s="542"/>
      <c r="W324" s="540"/>
    </row>
    <row r="325" spans="1:23" s="539" customFormat="1" ht="8.25" customHeight="1" x14ac:dyDescent="0.25">
      <c r="A325" s="726" t="s">
        <v>1255</v>
      </c>
      <c r="B325" s="727"/>
      <c r="C325" s="728" t="s">
        <v>1256</v>
      </c>
      <c r="D325" s="729"/>
      <c r="E325" s="729"/>
      <c r="F325" s="729"/>
      <c r="G325" s="730"/>
      <c r="H325" s="540" t="s">
        <v>121</v>
      </c>
      <c r="I325" s="541" t="s">
        <v>1235</v>
      </c>
      <c r="J325" s="542" t="s">
        <v>1235</v>
      </c>
      <c r="K325" s="542" t="s">
        <v>1235</v>
      </c>
      <c r="L325" s="542" t="s">
        <v>1235</v>
      </c>
      <c r="M325" s="542" t="s">
        <v>1235</v>
      </c>
      <c r="N325" s="542" t="s">
        <v>1235</v>
      </c>
      <c r="O325" s="542" t="s">
        <v>1235</v>
      </c>
      <c r="P325" s="542" t="s">
        <v>1235</v>
      </c>
      <c r="Q325" s="542" t="s">
        <v>1235</v>
      </c>
      <c r="R325" s="542" t="s">
        <v>1235</v>
      </c>
      <c r="S325" s="542" t="s">
        <v>1235</v>
      </c>
      <c r="T325" s="542" t="s">
        <v>1235</v>
      </c>
      <c r="U325" s="542" t="s">
        <v>1235</v>
      </c>
      <c r="V325" s="542" t="s">
        <v>1235</v>
      </c>
      <c r="W325" s="540" t="s">
        <v>1235</v>
      </c>
    </row>
    <row r="326" spans="1:23" s="539" customFormat="1" ht="8.1" customHeight="1" x14ac:dyDescent="0.25">
      <c r="A326" s="726" t="s">
        <v>1257</v>
      </c>
      <c r="B326" s="727"/>
      <c r="C326" s="731" t="s">
        <v>1251</v>
      </c>
      <c r="D326" s="732"/>
      <c r="E326" s="732"/>
      <c r="F326" s="732"/>
      <c r="G326" s="733"/>
      <c r="H326" s="540" t="s">
        <v>1247</v>
      </c>
      <c r="I326" s="541"/>
      <c r="J326" s="542"/>
      <c r="K326" s="542"/>
      <c r="L326" s="542"/>
      <c r="M326" s="542"/>
      <c r="N326" s="542"/>
      <c r="O326" s="542"/>
      <c r="P326" s="542"/>
      <c r="Q326" s="542"/>
      <c r="R326" s="542"/>
      <c r="S326" s="542"/>
      <c r="T326" s="542"/>
      <c r="U326" s="542"/>
      <c r="V326" s="542"/>
      <c r="W326" s="540"/>
    </row>
    <row r="327" spans="1:23" s="539" customFormat="1" ht="8.1" customHeight="1" x14ac:dyDescent="0.25">
      <c r="A327" s="726" t="s">
        <v>1258</v>
      </c>
      <c r="B327" s="727"/>
      <c r="C327" s="731" t="s">
        <v>1259</v>
      </c>
      <c r="D327" s="732"/>
      <c r="E327" s="732"/>
      <c r="F327" s="732"/>
      <c r="G327" s="733"/>
      <c r="H327" s="540" t="s">
        <v>240</v>
      </c>
      <c r="I327" s="541"/>
      <c r="J327" s="542"/>
      <c r="K327" s="542"/>
      <c r="L327" s="542"/>
      <c r="M327" s="542"/>
      <c r="N327" s="542"/>
      <c r="O327" s="542"/>
      <c r="P327" s="542"/>
      <c r="Q327" s="542"/>
      <c r="R327" s="542"/>
      <c r="S327" s="542"/>
      <c r="T327" s="542"/>
      <c r="U327" s="542"/>
      <c r="V327" s="542"/>
      <c r="W327" s="540"/>
    </row>
    <row r="328" spans="1:23" s="539" customFormat="1" ht="8.1" customHeight="1" x14ac:dyDescent="0.25">
      <c r="A328" s="726" t="s">
        <v>1260</v>
      </c>
      <c r="B328" s="727"/>
      <c r="C328" s="731" t="s">
        <v>1253</v>
      </c>
      <c r="D328" s="732"/>
      <c r="E328" s="732"/>
      <c r="F328" s="732"/>
      <c r="G328" s="733"/>
      <c r="H328" s="540" t="s">
        <v>1254</v>
      </c>
      <c r="I328" s="541"/>
      <c r="J328" s="542"/>
      <c r="K328" s="542"/>
      <c r="L328" s="542"/>
      <c r="M328" s="542"/>
      <c r="N328" s="542"/>
      <c r="O328" s="542"/>
      <c r="P328" s="542"/>
      <c r="Q328" s="542"/>
      <c r="R328" s="542"/>
      <c r="S328" s="542"/>
      <c r="T328" s="542"/>
      <c r="U328" s="542"/>
      <c r="V328" s="542"/>
      <c r="W328" s="540"/>
    </row>
    <row r="329" spans="1:23" s="539" customFormat="1" ht="8.25" customHeight="1" x14ac:dyDescent="0.25">
      <c r="A329" s="726" t="s">
        <v>1261</v>
      </c>
      <c r="B329" s="727"/>
      <c r="C329" s="728" t="s">
        <v>1262</v>
      </c>
      <c r="D329" s="729"/>
      <c r="E329" s="729"/>
      <c r="F329" s="729"/>
      <c r="G329" s="730"/>
      <c r="H329" s="540" t="s">
        <v>121</v>
      </c>
      <c r="I329" s="541" t="s">
        <v>1235</v>
      </c>
      <c r="J329" s="542" t="s">
        <v>1235</v>
      </c>
      <c r="K329" s="542" t="s">
        <v>1235</v>
      </c>
      <c r="L329" s="542" t="s">
        <v>1235</v>
      </c>
      <c r="M329" s="542" t="s">
        <v>1235</v>
      </c>
      <c r="N329" s="542" t="s">
        <v>1235</v>
      </c>
      <c r="O329" s="542" t="s">
        <v>1235</v>
      </c>
      <c r="P329" s="542" t="s">
        <v>1235</v>
      </c>
      <c r="Q329" s="542" t="s">
        <v>1235</v>
      </c>
      <c r="R329" s="542" t="s">
        <v>1235</v>
      </c>
      <c r="S329" s="542" t="s">
        <v>1235</v>
      </c>
      <c r="T329" s="542" t="s">
        <v>1235</v>
      </c>
      <c r="U329" s="542" t="s">
        <v>1235</v>
      </c>
      <c r="V329" s="542" t="s">
        <v>1235</v>
      </c>
      <c r="W329" s="540" t="s">
        <v>1235</v>
      </c>
    </row>
    <row r="330" spans="1:23" s="539" customFormat="1" ht="8.1" customHeight="1" x14ac:dyDescent="0.25">
      <c r="A330" s="726" t="s">
        <v>1263</v>
      </c>
      <c r="B330" s="727"/>
      <c r="C330" s="731" t="s">
        <v>1251</v>
      </c>
      <c r="D330" s="732"/>
      <c r="E330" s="732"/>
      <c r="F330" s="732"/>
      <c r="G330" s="733"/>
      <c r="H330" s="540" t="s">
        <v>1247</v>
      </c>
      <c r="I330" s="541"/>
      <c r="J330" s="542"/>
      <c r="K330" s="542"/>
      <c r="L330" s="542"/>
      <c r="M330" s="542"/>
      <c r="N330" s="542"/>
      <c r="O330" s="542"/>
      <c r="P330" s="542"/>
      <c r="Q330" s="542"/>
      <c r="R330" s="542"/>
      <c r="S330" s="542"/>
      <c r="T330" s="542"/>
      <c r="U330" s="542"/>
      <c r="V330" s="542"/>
      <c r="W330" s="540"/>
    </row>
    <row r="331" spans="1:23" s="539" customFormat="1" ht="8.1" customHeight="1" x14ac:dyDescent="0.25">
      <c r="A331" s="726" t="s">
        <v>1264</v>
      </c>
      <c r="B331" s="727"/>
      <c r="C331" s="731" t="s">
        <v>1253</v>
      </c>
      <c r="D331" s="732"/>
      <c r="E331" s="732"/>
      <c r="F331" s="732"/>
      <c r="G331" s="733"/>
      <c r="H331" s="540" t="s">
        <v>1254</v>
      </c>
      <c r="I331" s="541"/>
      <c r="J331" s="542"/>
      <c r="K331" s="542"/>
      <c r="L331" s="542"/>
      <c r="M331" s="542"/>
      <c r="N331" s="542"/>
      <c r="O331" s="542"/>
      <c r="P331" s="542"/>
      <c r="Q331" s="542"/>
      <c r="R331" s="542"/>
      <c r="S331" s="542"/>
      <c r="T331" s="542"/>
      <c r="U331" s="542"/>
      <c r="V331" s="542"/>
      <c r="W331" s="540"/>
    </row>
    <row r="332" spans="1:23" s="539" customFormat="1" ht="8.25" customHeight="1" x14ac:dyDescent="0.25">
      <c r="A332" s="726" t="s">
        <v>1265</v>
      </c>
      <c r="B332" s="727"/>
      <c r="C332" s="728" t="s">
        <v>1266</v>
      </c>
      <c r="D332" s="729"/>
      <c r="E332" s="729"/>
      <c r="F332" s="729"/>
      <c r="G332" s="730"/>
      <c r="H332" s="540" t="s">
        <v>121</v>
      </c>
      <c r="I332" s="541" t="s">
        <v>1235</v>
      </c>
      <c r="J332" s="542" t="s">
        <v>1235</v>
      </c>
      <c r="K332" s="542" t="s">
        <v>1235</v>
      </c>
      <c r="L332" s="542" t="s">
        <v>1235</v>
      </c>
      <c r="M332" s="542" t="s">
        <v>1235</v>
      </c>
      <c r="N332" s="542" t="s">
        <v>1235</v>
      </c>
      <c r="O332" s="542" t="s">
        <v>1235</v>
      </c>
      <c r="P332" s="542" t="s">
        <v>1235</v>
      </c>
      <c r="Q332" s="542" t="s">
        <v>1235</v>
      </c>
      <c r="R332" s="542" t="s">
        <v>1235</v>
      </c>
      <c r="S332" s="542" t="s">
        <v>1235</v>
      </c>
      <c r="T332" s="542" t="s">
        <v>1235</v>
      </c>
      <c r="U332" s="542" t="s">
        <v>1235</v>
      </c>
      <c r="V332" s="542" t="s">
        <v>1235</v>
      </c>
      <c r="W332" s="540" t="s">
        <v>1235</v>
      </c>
    </row>
    <row r="333" spans="1:23" s="539" customFormat="1" ht="8.1" customHeight="1" x14ac:dyDescent="0.25">
      <c r="A333" s="726" t="s">
        <v>1267</v>
      </c>
      <c r="B333" s="727"/>
      <c r="C333" s="731" t="s">
        <v>1251</v>
      </c>
      <c r="D333" s="732"/>
      <c r="E333" s="732"/>
      <c r="F333" s="732"/>
      <c r="G333" s="733"/>
      <c r="H333" s="540" t="s">
        <v>1247</v>
      </c>
      <c r="I333" s="541"/>
      <c r="J333" s="542"/>
      <c r="K333" s="542"/>
      <c r="L333" s="542"/>
      <c r="M333" s="542"/>
      <c r="N333" s="542"/>
      <c r="O333" s="542"/>
      <c r="P333" s="542"/>
      <c r="Q333" s="542"/>
      <c r="R333" s="542"/>
      <c r="S333" s="542"/>
      <c r="T333" s="542"/>
      <c r="U333" s="542"/>
      <c r="V333" s="542"/>
      <c r="W333" s="540"/>
    </row>
    <row r="334" spans="1:23" s="539" customFormat="1" ht="8.1" customHeight="1" x14ac:dyDescent="0.25">
      <c r="A334" s="726" t="s">
        <v>1268</v>
      </c>
      <c r="B334" s="727"/>
      <c r="C334" s="731" t="s">
        <v>1259</v>
      </c>
      <c r="D334" s="732"/>
      <c r="E334" s="732"/>
      <c r="F334" s="732"/>
      <c r="G334" s="733"/>
      <c r="H334" s="540" t="s">
        <v>240</v>
      </c>
      <c r="I334" s="541"/>
      <c r="J334" s="542"/>
      <c r="K334" s="542"/>
      <c r="L334" s="542"/>
      <c r="M334" s="542"/>
      <c r="N334" s="542"/>
      <c r="O334" s="542"/>
      <c r="P334" s="542"/>
      <c r="Q334" s="542"/>
      <c r="R334" s="542"/>
      <c r="S334" s="542"/>
      <c r="T334" s="542"/>
      <c r="U334" s="542"/>
      <c r="V334" s="542"/>
      <c r="W334" s="540"/>
    </row>
    <row r="335" spans="1:23" s="539" customFormat="1" ht="8.1" customHeight="1" x14ac:dyDescent="0.25">
      <c r="A335" s="726" t="s">
        <v>1269</v>
      </c>
      <c r="B335" s="727"/>
      <c r="C335" s="731" t="s">
        <v>1253</v>
      </c>
      <c r="D335" s="732"/>
      <c r="E335" s="732"/>
      <c r="F335" s="732"/>
      <c r="G335" s="733"/>
      <c r="H335" s="540" t="s">
        <v>1254</v>
      </c>
      <c r="I335" s="541"/>
      <c r="J335" s="542"/>
      <c r="K335" s="542"/>
      <c r="L335" s="542"/>
      <c r="M335" s="542"/>
      <c r="N335" s="542"/>
      <c r="O335" s="542"/>
      <c r="P335" s="542"/>
      <c r="Q335" s="542"/>
      <c r="R335" s="542"/>
      <c r="S335" s="542"/>
      <c r="T335" s="542"/>
      <c r="U335" s="542"/>
      <c r="V335" s="542"/>
      <c r="W335" s="540"/>
    </row>
    <row r="336" spans="1:23" s="539" customFormat="1" ht="9" customHeight="1" x14ac:dyDescent="0.25">
      <c r="A336" s="726" t="s">
        <v>1270</v>
      </c>
      <c r="B336" s="727"/>
      <c r="C336" s="795" t="s">
        <v>1271</v>
      </c>
      <c r="D336" s="796"/>
      <c r="E336" s="796"/>
      <c r="F336" s="796"/>
      <c r="G336" s="797"/>
      <c r="H336" s="540" t="s">
        <v>121</v>
      </c>
      <c r="I336" s="541" t="s">
        <v>1235</v>
      </c>
      <c r="J336" s="542" t="s">
        <v>1235</v>
      </c>
      <c r="K336" s="542" t="s">
        <v>1235</v>
      </c>
      <c r="L336" s="542" t="s">
        <v>1235</v>
      </c>
      <c r="M336" s="542" t="s">
        <v>1235</v>
      </c>
      <c r="N336" s="542" t="s">
        <v>1235</v>
      </c>
      <c r="O336" s="542" t="s">
        <v>1235</v>
      </c>
      <c r="P336" s="542" t="s">
        <v>1235</v>
      </c>
      <c r="Q336" s="542" t="s">
        <v>1235</v>
      </c>
      <c r="R336" s="542" t="s">
        <v>1235</v>
      </c>
      <c r="S336" s="542" t="s">
        <v>1235</v>
      </c>
      <c r="T336" s="542" t="s">
        <v>1235</v>
      </c>
      <c r="U336" s="542" t="s">
        <v>1235</v>
      </c>
      <c r="V336" s="542" t="s">
        <v>1235</v>
      </c>
      <c r="W336" s="540" t="s">
        <v>1235</v>
      </c>
    </row>
    <row r="337" spans="1:23" s="539" customFormat="1" ht="8.25" customHeight="1" x14ac:dyDescent="0.25">
      <c r="A337" s="726" t="s">
        <v>1272</v>
      </c>
      <c r="B337" s="727"/>
      <c r="C337" s="798" t="s">
        <v>1273</v>
      </c>
      <c r="D337" s="799"/>
      <c r="E337" s="799"/>
      <c r="F337" s="799"/>
      <c r="G337" s="800"/>
      <c r="H337" s="548" t="s">
        <v>1247</v>
      </c>
      <c r="I337" s="549">
        <v>103.2835</v>
      </c>
      <c r="J337" s="549">
        <v>108.52809999999999</v>
      </c>
      <c r="K337" s="549">
        <v>132.55799999999999</v>
      </c>
      <c r="L337" s="549">
        <v>139.535</v>
      </c>
      <c r="M337" s="549"/>
      <c r="N337" s="549">
        <v>139.535</v>
      </c>
      <c r="O337" s="549"/>
      <c r="P337" s="549">
        <v>139.535</v>
      </c>
      <c r="Q337" s="549"/>
      <c r="R337" s="549">
        <v>139.535</v>
      </c>
      <c r="S337" s="549"/>
      <c r="T337" s="549">
        <v>139.535</v>
      </c>
      <c r="U337" s="549"/>
      <c r="V337" s="549"/>
      <c r="W337" s="548"/>
    </row>
    <row r="338" spans="1:23" s="539" customFormat="1" ht="16.5" customHeight="1" x14ac:dyDescent="0.25">
      <c r="A338" s="726" t="s">
        <v>1274</v>
      </c>
      <c r="B338" s="727"/>
      <c r="C338" s="731" t="s">
        <v>1275</v>
      </c>
      <c r="D338" s="732"/>
      <c r="E338" s="732"/>
      <c r="F338" s="732"/>
      <c r="G338" s="733"/>
      <c r="H338" s="540" t="s">
        <v>1247</v>
      </c>
      <c r="I338" s="542"/>
      <c r="J338" s="542"/>
      <c r="K338" s="542"/>
      <c r="L338" s="542"/>
      <c r="M338" s="542"/>
      <c r="N338" s="542"/>
      <c r="O338" s="542"/>
      <c r="P338" s="542"/>
      <c r="Q338" s="542"/>
      <c r="R338" s="542"/>
      <c r="S338" s="542"/>
      <c r="T338" s="542"/>
      <c r="U338" s="542"/>
      <c r="V338" s="542"/>
      <c r="W338" s="540"/>
    </row>
    <row r="339" spans="1:23" s="539" customFormat="1" ht="8.1" customHeight="1" x14ac:dyDescent="0.25">
      <c r="A339" s="726" t="s">
        <v>1276</v>
      </c>
      <c r="B339" s="727"/>
      <c r="C339" s="742" t="s">
        <v>1277</v>
      </c>
      <c r="D339" s="743"/>
      <c r="E339" s="743"/>
      <c r="F339" s="743"/>
      <c r="G339" s="744"/>
      <c r="H339" s="540" t="s">
        <v>1247</v>
      </c>
      <c r="I339" s="542"/>
      <c r="J339" s="542"/>
      <c r="K339" s="542"/>
      <c r="L339" s="542"/>
      <c r="M339" s="542"/>
      <c r="N339" s="542"/>
      <c r="O339" s="542"/>
      <c r="P339" s="542"/>
      <c r="Q339" s="542"/>
      <c r="R339" s="542"/>
      <c r="S339" s="542"/>
      <c r="T339" s="542"/>
      <c r="U339" s="542"/>
      <c r="V339" s="542"/>
      <c r="W339" s="540"/>
    </row>
    <row r="340" spans="1:23" s="539" customFormat="1" ht="8.1" customHeight="1" x14ac:dyDescent="0.25">
      <c r="A340" s="726" t="s">
        <v>1278</v>
      </c>
      <c r="B340" s="727"/>
      <c r="C340" s="742" t="s">
        <v>1279</v>
      </c>
      <c r="D340" s="743"/>
      <c r="E340" s="743"/>
      <c r="F340" s="743"/>
      <c r="G340" s="744"/>
      <c r="H340" s="540" t="s">
        <v>1247</v>
      </c>
      <c r="I340" s="542"/>
      <c r="J340" s="542"/>
      <c r="K340" s="542"/>
      <c r="L340" s="542"/>
      <c r="M340" s="542"/>
      <c r="N340" s="542"/>
      <c r="O340" s="542"/>
      <c r="P340" s="542"/>
      <c r="Q340" s="542"/>
      <c r="R340" s="542"/>
      <c r="S340" s="542"/>
      <c r="T340" s="542"/>
      <c r="U340" s="542"/>
      <c r="V340" s="542"/>
      <c r="W340" s="540"/>
    </row>
    <row r="341" spans="1:23" s="539" customFormat="1" ht="8.25" customHeight="1" x14ac:dyDescent="0.25">
      <c r="A341" s="726" t="s">
        <v>1280</v>
      </c>
      <c r="B341" s="727"/>
      <c r="C341" s="798" t="s">
        <v>1281</v>
      </c>
      <c r="D341" s="799"/>
      <c r="E341" s="799"/>
      <c r="F341" s="799"/>
      <c r="G341" s="800"/>
      <c r="H341" s="548" t="s">
        <v>1247</v>
      </c>
      <c r="I341" s="549">
        <v>2.2930000000000001</v>
      </c>
      <c r="J341" s="549">
        <v>8.2809000000000008</v>
      </c>
      <c r="K341" s="549">
        <v>6.9770000000000003</v>
      </c>
      <c r="L341" s="549">
        <v>8.66</v>
      </c>
      <c r="M341" s="549"/>
      <c r="N341" s="549">
        <v>8.66</v>
      </c>
      <c r="O341" s="549"/>
      <c r="P341" s="549">
        <v>8.66</v>
      </c>
      <c r="Q341" s="549"/>
      <c r="R341" s="549">
        <v>8.66</v>
      </c>
      <c r="S341" s="549"/>
      <c r="T341" s="549">
        <v>8.66</v>
      </c>
      <c r="U341" s="549"/>
      <c r="V341" s="549"/>
      <c r="W341" s="548"/>
    </row>
    <row r="342" spans="1:23" s="539" customFormat="1" ht="8.25" customHeight="1" x14ac:dyDescent="0.25">
      <c r="A342" s="726" t="s">
        <v>1282</v>
      </c>
      <c r="B342" s="727"/>
      <c r="C342" s="798" t="s">
        <v>1283</v>
      </c>
      <c r="D342" s="799"/>
      <c r="E342" s="799"/>
      <c r="F342" s="799"/>
      <c r="G342" s="800"/>
      <c r="H342" s="548" t="s">
        <v>240</v>
      </c>
      <c r="I342" s="549">
        <v>10.984</v>
      </c>
      <c r="J342" s="549">
        <v>21.238</v>
      </c>
      <c r="K342" s="549">
        <v>25.37</v>
      </c>
      <c r="L342" s="549">
        <v>25.155999999999999</v>
      </c>
      <c r="M342" s="549"/>
      <c r="N342" s="549">
        <v>25.155999999999999</v>
      </c>
      <c r="O342" s="549"/>
      <c r="P342" s="549">
        <v>25.155999999999999</v>
      </c>
      <c r="Q342" s="549"/>
      <c r="R342" s="549">
        <v>25.155999999999999</v>
      </c>
      <c r="S342" s="549"/>
      <c r="T342" s="549">
        <v>25.155999999999999</v>
      </c>
      <c r="U342" s="549"/>
      <c r="V342" s="549"/>
      <c r="W342" s="548"/>
    </row>
    <row r="343" spans="1:23" s="539" customFormat="1" ht="16.5" customHeight="1" x14ac:dyDescent="0.25">
      <c r="A343" s="726" t="s">
        <v>1284</v>
      </c>
      <c r="B343" s="727"/>
      <c r="C343" s="731" t="s">
        <v>1285</v>
      </c>
      <c r="D343" s="732"/>
      <c r="E343" s="732"/>
      <c r="F343" s="732"/>
      <c r="G343" s="733"/>
      <c r="H343" s="540" t="s">
        <v>240</v>
      </c>
      <c r="I343" s="542"/>
      <c r="J343" s="542"/>
      <c r="K343" s="542"/>
      <c r="L343" s="542"/>
      <c r="M343" s="542"/>
      <c r="N343" s="542"/>
      <c r="O343" s="542"/>
      <c r="P343" s="542"/>
      <c r="Q343" s="542"/>
      <c r="R343" s="542"/>
      <c r="S343" s="542"/>
      <c r="T343" s="542"/>
      <c r="U343" s="542"/>
      <c r="V343" s="542"/>
      <c r="W343" s="540"/>
    </row>
    <row r="344" spans="1:23" s="539" customFormat="1" ht="8.1" customHeight="1" x14ac:dyDescent="0.25">
      <c r="A344" s="726" t="s">
        <v>1286</v>
      </c>
      <c r="B344" s="727"/>
      <c r="C344" s="742" t="s">
        <v>1277</v>
      </c>
      <c r="D344" s="743"/>
      <c r="E344" s="743"/>
      <c r="F344" s="743"/>
      <c r="G344" s="744"/>
      <c r="H344" s="540" t="s">
        <v>240</v>
      </c>
      <c r="I344" s="542"/>
      <c r="J344" s="542"/>
      <c r="K344" s="542"/>
      <c r="L344" s="542"/>
      <c r="M344" s="542"/>
      <c r="N344" s="542"/>
      <c r="O344" s="542"/>
      <c r="P344" s="542"/>
      <c r="Q344" s="542"/>
      <c r="R344" s="542"/>
      <c r="S344" s="542"/>
      <c r="T344" s="542"/>
      <c r="U344" s="542"/>
      <c r="V344" s="542"/>
      <c r="W344" s="540"/>
    </row>
    <row r="345" spans="1:23" s="539" customFormat="1" ht="8.1" customHeight="1" x14ac:dyDescent="0.25">
      <c r="A345" s="726" t="s">
        <v>1287</v>
      </c>
      <c r="B345" s="727"/>
      <c r="C345" s="742" t="s">
        <v>1279</v>
      </c>
      <c r="D345" s="743"/>
      <c r="E345" s="743"/>
      <c r="F345" s="743"/>
      <c r="G345" s="744"/>
      <c r="H345" s="540" t="s">
        <v>240</v>
      </c>
      <c r="I345" s="542"/>
      <c r="J345" s="542"/>
      <c r="K345" s="542"/>
      <c r="L345" s="542"/>
      <c r="M345" s="542"/>
      <c r="N345" s="542"/>
      <c r="O345" s="542"/>
      <c r="P345" s="542"/>
      <c r="Q345" s="542"/>
      <c r="R345" s="542"/>
      <c r="S345" s="542"/>
      <c r="T345" s="542"/>
      <c r="U345" s="542"/>
      <c r="V345" s="542"/>
      <c r="W345" s="540"/>
    </row>
    <row r="346" spans="1:23" s="539" customFormat="1" ht="8.25" customHeight="1" x14ac:dyDescent="0.25">
      <c r="A346" s="726" t="s">
        <v>1288</v>
      </c>
      <c r="B346" s="727"/>
      <c r="C346" s="798" t="s">
        <v>1289</v>
      </c>
      <c r="D346" s="799"/>
      <c r="E346" s="799"/>
      <c r="F346" s="799"/>
      <c r="G346" s="800"/>
      <c r="H346" s="548" t="s">
        <v>1290</v>
      </c>
      <c r="I346" s="549">
        <v>1502.31</v>
      </c>
      <c r="J346" s="549">
        <v>2216.56</v>
      </c>
      <c r="K346" s="549">
        <v>2216.56</v>
      </c>
      <c r="L346" s="549">
        <v>2216.56</v>
      </c>
      <c r="M346" s="549"/>
      <c r="N346" s="549">
        <v>2216.56</v>
      </c>
      <c r="O346" s="549"/>
      <c r="P346" s="549">
        <v>2216.56</v>
      </c>
      <c r="Q346" s="549"/>
      <c r="R346" s="549">
        <v>2216.56</v>
      </c>
      <c r="S346" s="549"/>
      <c r="T346" s="549">
        <v>2216.56</v>
      </c>
      <c r="U346" s="549"/>
      <c r="V346" s="549"/>
      <c r="W346" s="548"/>
    </row>
    <row r="347" spans="1:23" s="539" customFormat="1" ht="16.5" customHeight="1" x14ac:dyDescent="0.25">
      <c r="A347" s="726" t="s">
        <v>1291</v>
      </c>
      <c r="B347" s="727"/>
      <c r="C347" s="747" t="s">
        <v>1292</v>
      </c>
      <c r="D347" s="748"/>
      <c r="E347" s="748"/>
      <c r="F347" s="748"/>
      <c r="G347" s="749"/>
      <c r="H347" s="543" t="s">
        <v>807</v>
      </c>
      <c r="I347" s="545">
        <f t="shared" ref="I347:W347" si="191">I26-I60-I61-I54</f>
        <v>80.27</v>
      </c>
      <c r="J347" s="545">
        <f t="shared" si="191"/>
        <v>73.804000000000002</v>
      </c>
      <c r="K347" s="545">
        <f t="shared" si="191"/>
        <v>78.466240000000013</v>
      </c>
      <c r="L347" s="545">
        <f t="shared" si="191"/>
        <v>82.990684300288024</v>
      </c>
      <c r="M347" s="545">
        <f t="shared" si="191"/>
        <v>0</v>
      </c>
      <c r="N347" s="545">
        <f t="shared" si="191"/>
        <v>87.705708609116243</v>
      </c>
      <c r="O347" s="545">
        <f t="shared" si="191"/>
        <v>0</v>
      </c>
      <c r="P347" s="545">
        <f t="shared" si="191"/>
        <v>92.72069764913266</v>
      </c>
      <c r="Q347" s="545">
        <f t="shared" si="191"/>
        <v>0</v>
      </c>
      <c r="R347" s="545">
        <f t="shared" si="191"/>
        <v>98.057288564160814</v>
      </c>
      <c r="S347" s="545">
        <f t="shared" si="191"/>
        <v>0</v>
      </c>
      <c r="T347" s="545">
        <f t="shared" si="191"/>
        <v>103.73886074433335</v>
      </c>
      <c r="U347" s="545">
        <f t="shared" si="191"/>
        <v>0</v>
      </c>
      <c r="V347" s="545">
        <f t="shared" si="191"/>
        <v>465.21323986703101</v>
      </c>
      <c r="W347" s="545">
        <f t="shared" si="191"/>
        <v>0</v>
      </c>
    </row>
    <row r="348" spans="1:23" s="539" customFormat="1" ht="9" customHeight="1" x14ac:dyDescent="0.25">
      <c r="A348" s="726" t="s">
        <v>1293</v>
      </c>
      <c r="B348" s="727"/>
      <c r="C348" s="795" t="s">
        <v>1294</v>
      </c>
      <c r="D348" s="796"/>
      <c r="E348" s="796"/>
      <c r="F348" s="796"/>
      <c r="G348" s="797"/>
      <c r="H348" s="540" t="s">
        <v>121</v>
      </c>
      <c r="I348" s="542" t="s">
        <v>1235</v>
      </c>
      <c r="J348" s="542" t="s">
        <v>1235</v>
      </c>
      <c r="K348" s="542" t="s">
        <v>1235</v>
      </c>
      <c r="L348" s="542" t="s">
        <v>1235</v>
      </c>
      <c r="M348" s="542" t="s">
        <v>1235</v>
      </c>
      <c r="N348" s="542" t="s">
        <v>1235</v>
      </c>
      <c r="O348" s="542" t="s">
        <v>1235</v>
      </c>
      <c r="P348" s="542" t="s">
        <v>1235</v>
      </c>
      <c r="Q348" s="542" t="s">
        <v>1235</v>
      </c>
      <c r="R348" s="542" t="s">
        <v>1235</v>
      </c>
      <c r="S348" s="542" t="s">
        <v>1235</v>
      </c>
      <c r="T348" s="542" t="s">
        <v>1235</v>
      </c>
      <c r="U348" s="542" t="s">
        <v>1235</v>
      </c>
      <c r="V348" s="542" t="s">
        <v>1235</v>
      </c>
      <c r="W348" s="540" t="s">
        <v>1235</v>
      </c>
    </row>
    <row r="349" spans="1:23" s="539" customFormat="1" ht="8.1" customHeight="1" x14ac:dyDescent="0.25">
      <c r="A349" s="726" t="s">
        <v>1295</v>
      </c>
      <c r="B349" s="727"/>
      <c r="C349" s="728" t="s">
        <v>1296</v>
      </c>
      <c r="D349" s="729"/>
      <c r="E349" s="729"/>
      <c r="F349" s="729"/>
      <c r="G349" s="730"/>
      <c r="H349" s="540" t="s">
        <v>1247</v>
      </c>
      <c r="I349" s="542"/>
      <c r="J349" s="542"/>
      <c r="K349" s="542"/>
      <c r="L349" s="542"/>
      <c r="M349" s="542"/>
      <c r="N349" s="542"/>
      <c r="O349" s="542"/>
      <c r="P349" s="542"/>
      <c r="Q349" s="542"/>
      <c r="R349" s="542"/>
      <c r="S349" s="542"/>
      <c r="T349" s="542"/>
      <c r="U349" s="542"/>
      <c r="V349" s="542"/>
      <c r="W349" s="540"/>
    </row>
    <row r="350" spans="1:23" s="539" customFormat="1" x14ac:dyDescent="0.25">
      <c r="A350" s="726" t="s">
        <v>1297</v>
      </c>
      <c r="B350" s="727"/>
      <c r="C350" s="728" t="s">
        <v>1298</v>
      </c>
      <c r="D350" s="729"/>
      <c r="E350" s="729"/>
      <c r="F350" s="729"/>
      <c r="G350" s="730"/>
      <c r="H350" s="540" t="s">
        <v>1240</v>
      </c>
      <c r="I350" s="542"/>
      <c r="J350" s="542"/>
      <c r="K350" s="542"/>
      <c r="L350" s="542"/>
      <c r="M350" s="542"/>
      <c r="N350" s="542"/>
      <c r="O350" s="542"/>
      <c r="P350" s="542"/>
      <c r="Q350" s="542"/>
      <c r="R350" s="542"/>
      <c r="S350" s="542"/>
      <c r="T350" s="542"/>
      <c r="U350" s="542"/>
      <c r="V350" s="542"/>
      <c r="W350" s="540"/>
    </row>
    <row r="351" spans="1:23" s="539" customFormat="1" ht="24.75" customHeight="1" x14ac:dyDescent="0.25">
      <c r="A351" s="726" t="s">
        <v>1299</v>
      </c>
      <c r="B351" s="727"/>
      <c r="C351" s="728" t="s">
        <v>1300</v>
      </c>
      <c r="D351" s="729"/>
      <c r="E351" s="729"/>
      <c r="F351" s="729"/>
      <c r="G351" s="730"/>
      <c r="H351" s="540" t="s">
        <v>807</v>
      </c>
      <c r="I351" s="542"/>
      <c r="J351" s="542"/>
      <c r="K351" s="542"/>
      <c r="L351" s="542"/>
      <c r="M351" s="542"/>
      <c r="N351" s="542"/>
      <c r="O351" s="542"/>
      <c r="P351" s="542"/>
      <c r="Q351" s="542"/>
      <c r="R351" s="542"/>
      <c r="S351" s="542"/>
      <c r="T351" s="542"/>
      <c r="U351" s="542"/>
      <c r="V351" s="542"/>
      <c r="W351" s="540"/>
    </row>
    <row r="352" spans="1:23" s="539" customFormat="1" ht="16.5" customHeight="1" x14ac:dyDescent="0.25">
      <c r="A352" s="726" t="s">
        <v>1301</v>
      </c>
      <c r="B352" s="727"/>
      <c r="C352" s="728" t="s">
        <v>1302</v>
      </c>
      <c r="D352" s="729"/>
      <c r="E352" s="729"/>
      <c r="F352" s="729"/>
      <c r="G352" s="730"/>
      <c r="H352" s="540" t="s">
        <v>807</v>
      </c>
      <c r="I352" s="542"/>
      <c r="J352" s="542"/>
      <c r="K352" s="542"/>
      <c r="L352" s="542"/>
      <c r="M352" s="542"/>
      <c r="N352" s="542"/>
      <c r="O352" s="542"/>
      <c r="P352" s="542"/>
      <c r="Q352" s="542"/>
      <c r="R352" s="542"/>
      <c r="S352" s="542"/>
      <c r="T352" s="542"/>
      <c r="U352" s="542"/>
      <c r="V352" s="542"/>
      <c r="W352" s="540"/>
    </row>
    <row r="353" spans="1:23" s="539" customFormat="1" ht="9" customHeight="1" x14ac:dyDescent="0.25">
      <c r="A353" s="726" t="s">
        <v>1303</v>
      </c>
      <c r="B353" s="727"/>
      <c r="C353" s="795" t="s">
        <v>1304</v>
      </c>
      <c r="D353" s="796"/>
      <c r="E353" s="796"/>
      <c r="F353" s="796"/>
      <c r="G353" s="797"/>
      <c r="H353" s="540" t="s">
        <v>121</v>
      </c>
      <c r="I353" s="542" t="s">
        <v>1235</v>
      </c>
      <c r="J353" s="542" t="s">
        <v>1235</v>
      </c>
      <c r="K353" s="542" t="s">
        <v>1235</v>
      </c>
      <c r="L353" s="542" t="s">
        <v>1235</v>
      </c>
      <c r="M353" s="542" t="s">
        <v>1235</v>
      </c>
      <c r="N353" s="542" t="s">
        <v>1235</v>
      </c>
      <c r="O353" s="542" t="s">
        <v>1235</v>
      </c>
      <c r="P353" s="542" t="s">
        <v>1235</v>
      </c>
      <c r="Q353" s="542" t="s">
        <v>1235</v>
      </c>
      <c r="R353" s="542" t="s">
        <v>1235</v>
      </c>
      <c r="S353" s="542" t="s">
        <v>1235</v>
      </c>
      <c r="T353" s="542" t="s">
        <v>1235</v>
      </c>
      <c r="U353" s="542" t="s">
        <v>1235</v>
      </c>
      <c r="V353" s="542" t="s">
        <v>1235</v>
      </c>
      <c r="W353" s="540" t="s">
        <v>1235</v>
      </c>
    </row>
    <row r="354" spans="1:23" s="539" customFormat="1" ht="8.25" customHeight="1" x14ac:dyDescent="0.25">
      <c r="A354" s="726" t="s">
        <v>1305</v>
      </c>
      <c r="B354" s="727"/>
      <c r="C354" s="728" t="s">
        <v>1306</v>
      </c>
      <c r="D354" s="729"/>
      <c r="E354" s="729"/>
      <c r="F354" s="729"/>
      <c r="G354" s="730"/>
      <c r="H354" s="540" t="s">
        <v>240</v>
      </c>
      <c r="I354" s="542"/>
      <c r="J354" s="542"/>
      <c r="K354" s="542"/>
      <c r="L354" s="542"/>
      <c r="M354" s="542"/>
      <c r="N354" s="542"/>
      <c r="O354" s="542"/>
      <c r="P354" s="542"/>
      <c r="Q354" s="542"/>
      <c r="R354" s="542"/>
      <c r="S354" s="542"/>
      <c r="T354" s="542"/>
      <c r="U354" s="542"/>
      <c r="V354" s="542"/>
      <c r="W354" s="540"/>
    </row>
    <row r="355" spans="1:23" s="539" customFormat="1" ht="24.75" customHeight="1" x14ac:dyDescent="0.25">
      <c r="A355" s="726" t="s">
        <v>1307</v>
      </c>
      <c r="B355" s="727"/>
      <c r="C355" s="731" t="s">
        <v>1308</v>
      </c>
      <c r="D355" s="732"/>
      <c r="E355" s="732"/>
      <c r="F355" s="732"/>
      <c r="G355" s="733"/>
      <c r="H355" s="540" t="s">
        <v>240</v>
      </c>
      <c r="I355" s="542"/>
      <c r="J355" s="542"/>
      <c r="K355" s="542"/>
      <c r="L355" s="542"/>
      <c r="M355" s="542"/>
      <c r="N355" s="542"/>
      <c r="O355" s="542"/>
      <c r="P355" s="542"/>
      <c r="Q355" s="542"/>
      <c r="R355" s="542"/>
      <c r="S355" s="542"/>
      <c r="T355" s="542"/>
      <c r="U355" s="542"/>
      <c r="V355" s="542"/>
      <c r="W355" s="540"/>
    </row>
    <row r="356" spans="1:23" s="539" customFormat="1" ht="24.75" customHeight="1" x14ac:dyDescent="0.25">
      <c r="A356" s="726" t="s">
        <v>1309</v>
      </c>
      <c r="B356" s="727"/>
      <c r="C356" s="731" t="s">
        <v>1310</v>
      </c>
      <c r="D356" s="732"/>
      <c r="E356" s="732"/>
      <c r="F356" s="732"/>
      <c r="G356" s="733"/>
      <c r="H356" s="540" t="s">
        <v>240</v>
      </c>
      <c r="I356" s="542"/>
      <c r="J356" s="542"/>
      <c r="K356" s="542"/>
      <c r="L356" s="542"/>
      <c r="M356" s="542"/>
      <c r="N356" s="542"/>
      <c r="O356" s="542"/>
      <c r="P356" s="542"/>
      <c r="Q356" s="542"/>
      <c r="R356" s="542"/>
      <c r="S356" s="542"/>
      <c r="T356" s="542"/>
      <c r="U356" s="542"/>
      <c r="V356" s="542"/>
      <c r="W356" s="540"/>
    </row>
    <row r="357" spans="1:23" s="539" customFormat="1" ht="16.5" customHeight="1" x14ac:dyDescent="0.25">
      <c r="A357" s="726" t="s">
        <v>1311</v>
      </c>
      <c r="B357" s="727"/>
      <c r="C357" s="731" t="s">
        <v>1312</v>
      </c>
      <c r="D357" s="732"/>
      <c r="E357" s="732"/>
      <c r="F357" s="732"/>
      <c r="G357" s="733"/>
      <c r="H357" s="540" t="s">
        <v>240</v>
      </c>
      <c r="I357" s="542"/>
      <c r="J357" s="542"/>
      <c r="K357" s="542"/>
      <c r="L357" s="542"/>
      <c r="M357" s="542"/>
      <c r="N357" s="542"/>
      <c r="O357" s="542"/>
      <c r="P357" s="542"/>
      <c r="Q357" s="542"/>
      <c r="R357" s="542"/>
      <c r="S357" s="542"/>
      <c r="T357" s="542"/>
      <c r="U357" s="542"/>
      <c r="V357" s="542"/>
      <c r="W357" s="540"/>
    </row>
    <row r="358" spans="1:23" s="539" customFormat="1" ht="8.25" customHeight="1" x14ac:dyDescent="0.25">
      <c r="A358" s="726" t="s">
        <v>1313</v>
      </c>
      <c r="B358" s="727"/>
      <c r="C358" s="728" t="s">
        <v>1314</v>
      </c>
      <c r="D358" s="729"/>
      <c r="E358" s="729"/>
      <c r="F358" s="729"/>
      <c r="G358" s="730"/>
      <c r="H358" s="540" t="s">
        <v>1247</v>
      </c>
      <c r="I358" s="542"/>
      <c r="J358" s="542"/>
      <c r="K358" s="542"/>
      <c r="L358" s="542"/>
      <c r="M358" s="542"/>
      <c r="N358" s="542"/>
      <c r="O358" s="542"/>
      <c r="P358" s="542"/>
      <c r="Q358" s="542"/>
      <c r="R358" s="542"/>
      <c r="S358" s="542"/>
      <c r="T358" s="542"/>
      <c r="U358" s="542"/>
      <c r="V358" s="542"/>
      <c r="W358" s="540"/>
    </row>
    <row r="359" spans="1:23" s="539" customFormat="1" ht="16.5" customHeight="1" x14ac:dyDescent="0.25">
      <c r="A359" s="726" t="s">
        <v>1315</v>
      </c>
      <c r="B359" s="727"/>
      <c r="C359" s="731" t="s">
        <v>1316</v>
      </c>
      <c r="D359" s="732"/>
      <c r="E359" s="732"/>
      <c r="F359" s="732"/>
      <c r="G359" s="733"/>
      <c r="H359" s="540" t="s">
        <v>1247</v>
      </c>
      <c r="I359" s="542"/>
      <c r="J359" s="542"/>
      <c r="K359" s="542"/>
      <c r="L359" s="542"/>
      <c r="M359" s="542"/>
      <c r="N359" s="542"/>
      <c r="O359" s="542"/>
      <c r="P359" s="542"/>
      <c r="Q359" s="542"/>
      <c r="R359" s="542"/>
      <c r="S359" s="542"/>
      <c r="T359" s="542"/>
      <c r="U359" s="542"/>
      <c r="V359" s="542"/>
      <c r="W359" s="540"/>
    </row>
    <row r="360" spans="1:23" s="539" customFormat="1" ht="8.1" customHeight="1" x14ac:dyDescent="0.25">
      <c r="A360" s="726" t="s">
        <v>1317</v>
      </c>
      <c r="B360" s="727"/>
      <c r="C360" s="731" t="s">
        <v>1318</v>
      </c>
      <c r="D360" s="732"/>
      <c r="E360" s="732"/>
      <c r="F360" s="732"/>
      <c r="G360" s="733"/>
      <c r="H360" s="540" t="s">
        <v>1247</v>
      </c>
      <c r="I360" s="542"/>
      <c r="J360" s="542"/>
      <c r="K360" s="542"/>
      <c r="L360" s="542"/>
      <c r="M360" s="542"/>
      <c r="N360" s="542"/>
      <c r="O360" s="542"/>
      <c r="P360" s="542"/>
      <c r="Q360" s="542"/>
      <c r="R360" s="542"/>
      <c r="S360" s="542"/>
      <c r="T360" s="542"/>
      <c r="U360" s="542"/>
      <c r="V360" s="542"/>
      <c r="W360" s="540"/>
    </row>
    <row r="361" spans="1:23" s="539" customFormat="1" ht="16.5" customHeight="1" x14ac:dyDescent="0.25">
      <c r="A361" s="726" t="s">
        <v>1319</v>
      </c>
      <c r="B361" s="727"/>
      <c r="C361" s="728" t="s">
        <v>1320</v>
      </c>
      <c r="D361" s="729"/>
      <c r="E361" s="729"/>
      <c r="F361" s="729"/>
      <c r="G361" s="730"/>
      <c r="H361" s="540" t="s">
        <v>807</v>
      </c>
      <c r="I361" s="542"/>
      <c r="J361" s="542"/>
      <c r="K361" s="542"/>
      <c r="L361" s="542"/>
      <c r="M361" s="542"/>
      <c r="N361" s="542"/>
      <c r="O361" s="542"/>
      <c r="P361" s="542"/>
      <c r="Q361" s="542"/>
      <c r="R361" s="542"/>
      <c r="S361" s="542"/>
      <c r="T361" s="542"/>
      <c r="U361" s="542"/>
      <c r="V361" s="542"/>
      <c r="W361" s="540"/>
    </row>
    <row r="362" spans="1:23" s="539" customFormat="1" ht="8.1" customHeight="1" x14ac:dyDescent="0.25">
      <c r="A362" s="726" t="s">
        <v>1321</v>
      </c>
      <c r="B362" s="727"/>
      <c r="C362" s="731" t="s">
        <v>824</v>
      </c>
      <c r="D362" s="732"/>
      <c r="E362" s="732"/>
      <c r="F362" s="732"/>
      <c r="G362" s="733"/>
      <c r="H362" s="540" t="s">
        <v>807</v>
      </c>
      <c r="I362" s="542"/>
      <c r="J362" s="542"/>
      <c r="K362" s="542"/>
      <c r="L362" s="542"/>
      <c r="M362" s="542"/>
      <c r="N362" s="542"/>
      <c r="O362" s="542"/>
      <c r="P362" s="542"/>
      <c r="Q362" s="542"/>
      <c r="R362" s="542"/>
      <c r="S362" s="542"/>
      <c r="T362" s="542"/>
      <c r="U362" s="542"/>
      <c r="V362" s="542"/>
      <c r="W362" s="540"/>
    </row>
    <row r="363" spans="1:23" s="539" customFormat="1" ht="8.1" customHeight="1" x14ac:dyDescent="0.25">
      <c r="A363" s="726" t="s">
        <v>1322</v>
      </c>
      <c r="B363" s="727"/>
      <c r="C363" s="731" t="s">
        <v>826</v>
      </c>
      <c r="D363" s="732"/>
      <c r="E363" s="732"/>
      <c r="F363" s="732"/>
      <c r="G363" s="733"/>
      <c r="H363" s="540" t="s">
        <v>807</v>
      </c>
      <c r="I363" s="542"/>
      <c r="J363" s="542"/>
      <c r="K363" s="542"/>
      <c r="L363" s="542"/>
      <c r="M363" s="542"/>
      <c r="N363" s="542"/>
      <c r="O363" s="542"/>
      <c r="P363" s="542"/>
      <c r="Q363" s="542"/>
      <c r="R363" s="542"/>
      <c r="S363" s="542"/>
      <c r="T363" s="542"/>
      <c r="U363" s="542"/>
      <c r="V363" s="542"/>
      <c r="W363" s="540"/>
    </row>
    <row r="364" spans="1:23" s="539" customFormat="1" ht="9" customHeight="1" thickBot="1" x14ac:dyDescent="0.3">
      <c r="A364" s="790" t="s">
        <v>1323</v>
      </c>
      <c r="B364" s="791"/>
      <c r="C364" s="792" t="s">
        <v>1324</v>
      </c>
      <c r="D364" s="793"/>
      <c r="E364" s="793"/>
      <c r="F364" s="793"/>
      <c r="G364" s="794"/>
      <c r="H364" s="570" t="s">
        <v>1325</v>
      </c>
      <c r="I364" s="571">
        <v>17.5</v>
      </c>
      <c r="J364" s="571">
        <v>29</v>
      </c>
      <c r="K364" s="571">
        <v>29</v>
      </c>
      <c r="L364" s="571">
        <v>29</v>
      </c>
      <c r="M364" s="571"/>
      <c r="N364" s="571">
        <v>29</v>
      </c>
      <c r="O364" s="571">
        <v>0</v>
      </c>
      <c r="P364" s="571">
        <v>29</v>
      </c>
      <c r="Q364" s="571">
        <v>0</v>
      </c>
      <c r="R364" s="571">
        <v>29</v>
      </c>
      <c r="S364" s="571">
        <v>0</v>
      </c>
      <c r="T364" s="571">
        <v>29</v>
      </c>
      <c r="U364" s="571">
        <v>0</v>
      </c>
      <c r="V364" s="571"/>
      <c r="W364" s="570"/>
    </row>
    <row r="365" spans="1:23" s="539" customFormat="1" ht="13.5" customHeight="1" thickBot="1" x14ac:dyDescent="0.3">
      <c r="A365" s="774" t="s">
        <v>1326</v>
      </c>
      <c r="B365" s="775"/>
      <c r="C365" s="775"/>
      <c r="D365" s="775"/>
      <c r="E365" s="775"/>
      <c r="F365" s="775"/>
      <c r="G365" s="775"/>
      <c r="H365" s="775"/>
      <c r="I365" s="775"/>
      <c r="J365" s="775"/>
      <c r="K365" s="775"/>
      <c r="L365" s="775"/>
      <c r="M365" s="775"/>
      <c r="N365" s="775"/>
      <c r="O365" s="775"/>
      <c r="P365" s="775"/>
      <c r="Q365" s="775"/>
      <c r="R365" s="775"/>
      <c r="S365" s="775"/>
      <c r="T365" s="775"/>
      <c r="U365" s="775"/>
      <c r="V365" s="775"/>
      <c r="W365" s="776"/>
    </row>
    <row r="366" spans="1:23" s="574" customFormat="1" ht="18" customHeight="1" x14ac:dyDescent="0.15">
      <c r="A366" s="777" t="s">
        <v>196</v>
      </c>
      <c r="B366" s="778"/>
      <c r="C366" s="781" t="s">
        <v>799</v>
      </c>
      <c r="D366" s="782"/>
      <c r="E366" s="782"/>
      <c r="F366" s="782"/>
      <c r="G366" s="778"/>
      <c r="H366" s="785" t="s">
        <v>800</v>
      </c>
      <c r="I366" s="572">
        <v>2019</v>
      </c>
      <c r="J366" s="573">
        <v>2020</v>
      </c>
      <c r="K366" s="573">
        <v>2021</v>
      </c>
      <c r="L366" s="787">
        <v>2022</v>
      </c>
      <c r="M366" s="788"/>
      <c r="N366" s="787">
        <v>2023</v>
      </c>
      <c r="O366" s="788"/>
      <c r="P366" s="787">
        <v>2024</v>
      </c>
      <c r="Q366" s="788"/>
      <c r="R366" s="787">
        <v>2025</v>
      </c>
      <c r="S366" s="788"/>
      <c r="T366" s="787">
        <v>2026</v>
      </c>
      <c r="U366" s="788"/>
      <c r="V366" s="787" t="s">
        <v>232</v>
      </c>
      <c r="W366" s="789"/>
    </row>
    <row r="367" spans="1:23" s="574" customFormat="1" ht="32.25" customHeight="1" x14ac:dyDescent="0.15">
      <c r="A367" s="779"/>
      <c r="B367" s="780"/>
      <c r="C367" s="783"/>
      <c r="D367" s="784"/>
      <c r="E367" s="784"/>
      <c r="F367" s="784"/>
      <c r="G367" s="780"/>
      <c r="H367" s="786"/>
      <c r="I367" s="575" t="s">
        <v>801</v>
      </c>
      <c r="J367" s="576" t="s">
        <v>801</v>
      </c>
      <c r="K367" s="576" t="s">
        <v>802</v>
      </c>
      <c r="L367" s="576" t="s">
        <v>804</v>
      </c>
      <c r="M367" s="576" t="s">
        <v>1327</v>
      </c>
      <c r="N367" s="576" t="s">
        <v>804</v>
      </c>
      <c r="O367" s="576" t="s">
        <v>136</v>
      </c>
      <c r="P367" s="576" t="s">
        <v>804</v>
      </c>
      <c r="Q367" s="576" t="s">
        <v>136</v>
      </c>
      <c r="R367" s="576" t="s">
        <v>804</v>
      </c>
      <c r="S367" s="576" t="s">
        <v>136</v>
      </c>
      <c r="T367" s="576" t="s">
        <v>804</v>
      </c>
      <c r="U367" s="576" t="s">
        <v>136</v>
      </c>
      <c r="V367" s="576" t="s">
        <v>804</v>
      </c>
      <c r="W367" s="577" t="s">
        <v>136</v>
      </c>
    </row>
    <row r="368" spans="1:23" s="581" customFormat="1" ht="9" thickBot="1" x14ac:dyDescent="0.3">
      <c r="A368" s="767">
        <v>1</v>
      </c>
      <c r="B368" s="768"/>
      <c r="C368" s="769">
        <v>2</v>
      </c>
      <c r="D368" s="770"/>
      <c r="E368" s="770"/>
      <c r="F368" s="770"/>
      <c r="G368" s="768"/>
      <c r="H368" s="578">
        <v>3</v>
      </c>
      <c r="I368" s="579">
        <v>4</v>
      </c>
      <c r="J368" s="580">
        <v>5</v>
      </c>
      <c r="K368" s="580">
        <v>6</v>
      </c>
      <c r="L368" s="580">
        <v>7</v>
      </c>
      <c r="M368" s="580">
        <v>8</v>
      </c>
      <c r="N368" s="580">
        <v>9</v>
      </c>
      <c r="O368" s="580">
        <v>10</v>
      </c>
      <c r="P368" s="580">
        <v>11</v>
      </c>
      <c r="Q368" s="580">
        <v>12</v>
      </c>
      <c r="R368" s="580">
        <v>11</v>
      </c>
      <c r="S368" s="580">
        <v>12</v>
      </c>
      <c r="T368" s="580">
        <v>11</v>
      </c>
      <c r="U368" s="580">
        <v>12</v>
      </c>
      <c r="V368" s="580">
        <v>13</v>
      </c>
      <c r="W368" s="578">
        <v>14</v>
      </c>
    </row>
    <row r="369" spans="1:23" s="539" customFormat="1" ht="12" customHeight="1" x14ac:dyDescent="0.25">
      <c r="A369" s="771" t="s">
        <v>1328</v>
      </c>
      <c r="B369" s="772"/>
      <c r="C369" s="772"/>
      <c r="D369" s="772"/>
      <c r="E369" s="772"/>
      <c r="F369" s="772"/>
      <c r="G369" s="773"/>
      <c r="H369" s="548" t="s">
        <v>807</v>
      </c>
      <c r="I369" s="549">
        <f t="shared" ref="I369" si="192">I370+I427</f>
        <v>4.9779999999999998</v>
      </c>
      <c r="J369" s="549">
        <f>J370+J427</f>
        <v>10.06</v>
      </c>
      <c r="K369" s="549">
        <f t="shared" ref="K369" si="193">K370+K427</f>
        <v>10.859</v>
      </c>
      <c r="L369" s="549">
        <f>L370+L427</f>
        <v>13.648064000000002</v>
      </c>
      <c r="M369" s="549">
        <f t="shared" ref="M369:W369" si="194">M370+M427</f>
        <v>0</v>
      </c>
      <c r="N369" s="549">
        <f t="shared" si="194"/>
        <v>14.289776008</v>
      </c>
      <c r="O369" s="549">
        <f>O370+O427</f>
        <v>0</v>
      </c>
      <c r="P369" s="549">
        <f t="shared" ref="P369:Q369" si="195">P370+P427</f>
        <v>14.960741480376001</v>
      </c>
      <c r="Q369" s="549">
        <f t="shared" si="195"/>
        <v>0</v>
      </c>
      <c r="R369" s="549">
        <f t="shared" si="194"/>
        <v>15.664536329953672</v>
      </c>
      <c r="S369" s="549">
        <f t="shared" si="194"/>
        <v>0</v>
      </c>
      <c r="T369" s="549">
        <f t="shared" ref="T369:U369" si="196">T370+T427</f>
        <v>16.400763537461494</v>
      </c>
      <c r="U369" s="549">
        <f t="shared" si="196"/>
        <v>0</v>
      </c>
      <c r="V369" s="549">
        <f t="shared" si="194"/>
        <v>74.963881355791173</v>
      </c>
      <c r="W369" s="549">
        <f t="shared" si="194"/>
        <v>0</v>
      </c>
    </row>
    <row r="370" spans="1:23" s="539" customFormat="1" ht="9" customHeight="1" x14ac:dyDescent="0.25">
      <c r="A370" s="750" t="s">
        <v>524</v>
      </c>
      <c r="B370" s="751"/>
      <c r="C370" s="752" t="s">
        <v>1329</v>
      </c>
      <c r="D370" s="753"/>
      <c r="E370" s="753"/>
      <c r="F370" s="753"/>
      <c r="G370" s="754"/>
      <c r="H370" s="548" t="s">
        <v>807</v>
      </c>
      <c r="I370" s="549">
        <f t="shared" ref="I370:K370" si="197">I371+I395+I423+I424</f>
        <v>4.9779999999999998</v>
      </c>
      <c r="J370" s="549">
        <f t="shared" si="197"/>
        <v>10.06</v>
      </c>
      <c r="K370" s="549">
        <f t="shared" si="197"/>
        <v>8.8620000000000001</v>
      </c>
      <c r="L370" s="549">
        <f>L371+L395+L423+L424</f>
        <v>13.648064000000002</v>
      </c>
      <c r="M370" s="549">
        <f t="shared" ref="M370:W370" si="198">M371+M395+M423+M424</f>
        <v>0</v>
      </c>
      <c r="N370" s="549">
        <f t="shared" si="198"/>
        <v>14.289776008</v>
      </c>
      <c r="O370" s="549">
        <f t="shared" si="198"/>
        <v>0</v>
      </c>
      <c r="P370" s="549">
        <f t="shared" ref="P370:Q370" si="199">P371+P395+P423+P424</f>
        <v>14.960741480376001</v>
      </c>
      <c r="Q370" s="549">
        <f t="shared" si="199"/>
        <v>0</v>
      </c>
      <c r="R370" s="549">
        <f t="shared" si="198"/>
        <v>15.664536329953672</v>
      </c>
      <c r="S370" s="549">
        <f t="shared" si="198"/>
        <v>0</v>
      </c>
      <c r="T370" s="549">
        <f t="shared" ref="T370:U370" si="200">T371+T395+T423+T424</f>
        <v>16.400763537461494</v>
      </c>
      <c r="U370" s="549">
        <f t="shared" si="200"/>
        <v>0</v>
      </c>
      <c r="V370" s="549">
        <f t="shared" si="198"/>
        <v>74.963881355791173</v>
      </c>
      <c r="W370" s="549">
        <f t="shared" si="198"/>
        <v>0</v>
      </c>
    </row>
    <row r="371" spans="1:23" s="539" customFormat="1" x14ac:dyDescent="0.25">
      <c r="A371" s="745" t="s">
        <v>37</v>
      </c>
      <c r="B371" s="746"/>
      <c r="C371" s="747" t="s">
        <v>1330</v>
      </c>
      <c r="D371" s="748"/>
      <c r="E371" s="748"/>
      <c r="F371" s="748"/>
      <c r="G371" s="749"/>
      <c r="H371" s="543" t="s">
        <v>807</v>
      </c>
      <c r="I371" s="544">
        <f t="shared" ref="I371:K371" si="201">I372+I390+I394</f>
        <v>3.41</v>
      </c>
      <c r="J371" s="544">
        <f t="shared" si="201"/>
        <v>6.4550000000000001</v>
      </c>
      <c r="K371" s="544">
        <f t="shared" si="201"/>
        <v>5.7329999999999997</v>
      </c>
      <c r="L371" s="544">
        <f>L372+L390+L394</f>
        <v>8.1010000000000009</v>
      </c>
      <c r="M371" s="544">
        <f t="shared" ref="M371:W371" si="202">M372+M390+M394</f>
        <v>0</v>
      </c>
      <c r="N371" s="544">
        <f t="shared" si="202"/>
        <v>8.4819999999999993</v>
      </c>
      <c r="O371" s="544">
        <f t="shared" si="202"/>
        <v>0</v>
      </c>
      <c r="P371" s="544">
        <f t="shared" ref="P371:Q371" si="203">P372+P390+P394</f>
        <v>8.8800000000000008</v>
      </c>
      <c r="Q371" s="544">
        <f t="shared" si="203"/>
        <v>0</v>
      </c>
      <c r="R371" s="544">
        <f t="shared" si="202"/>
        <v>9.298</v>
      </c>
      <c r="S371" s="544">
        <f t="shared" si="202"/>
        <v>0</v>
      </c>
      <c r="T371" s="544">
        <f t="shared" ref="T371:U371" si="204">T372+T390+T394</f>
        <v>9.7349999999999994</v>
      </c>
      <c r="U371" s="544">
        <f t="shared" si="204"/>
        <v>0</v>
      </c>
      <c r="V371" s="544">
        <f t="shared" si="202"/>
        <v>44.496000000000002</v>
      </c>
      <c r="W371" s="544">
        <f t="shared" si="202"/>
        <v>0</v>
      </c>
    </row>
    <row r="372" spans="1:23" s="539" customFormat="1" ht="16.5" customHeight="1" x14ac:dyDescent="0.25">
      <c r="A372" s="726" t="s">
        <v>82</v>
      </c>
      <c r="B372" s="727"/>
      <c r="C372" s="731" t="s">
        <v>1331</v>
      </c>
      <c r="D372" s="732"/>
      <c r="E372" s="732"/>
      <c r="F372" s="732"/>
      <c r="G372" s="733"/>
      <c r="H372" s="540" t="s">
        <v>807</v>
      </c>
      <c r="I372" s="542">
        <f t="shared" ref="I372:K372" si="205">I378</f>
        <v>3.41</v>
      </c>
      <c r="J372" s="542">
        <f t="shared" si="205"/>
        <v>5.7850000000000001</v>
      </c>
      <c r="K372" s="542">
        <f t="shared" si="205"/>
        <v>5.7329999999999997</v>
      </c>
      <c r="L372" s="542">
        <f>L378</f>
        <v>8.1010000000000009</v>
      </c>
      <c r="M372" s="542">
        <f t="shared" ref="M372:W372" si="206">M378</f>
        <v>0</v>
      </c>
      <c r="N372" s="542">
        <f t="shared" si="206"/>
        <v>8.4819999999999993</v>
      </c>
      <c r="O372" s="542">
        <f t="shared" si="206"/>
        <v>0</v>
      </c>
      <c r="P372" s="542">
        <f t="shared" ref="P372:Q372" si="207">P378</f>
        <v>8.8800000000000008</v>
      </c>
      <c r="Q372" s="542">
        <f t="shared" si="207"/>
        <v>0</v>
      </c>
      <c r="R372" s="542">
        <f t="shared" si="206"/>
        <v>9.298</v>
      </c>
      <c r="S372" s="542">
        <f t="shared" si="206"/>
        <v>0</v>
      </c>
      <c r="T372" s="542">
        <f t="shared" ref="T372:U372" si="208">T378</f>
        <v>9.7349999999999994</v>
      </c>
      <c r="U372" s="542">
        <f t="shared" si="208"/>
        <v>0</v>
      </c>
      <c r="V372" s="542">
        <f t="shared" si="206"/>
        <v>44.496000000000002</v>
      </c>
      <c r="W372" s="542">
        <f t="shared" si="206"/>
        <v>0</v>
      </c>
    </row>
    <row r="373" spans="1:23" s="539" customFormat="1" x14ac:dyDescent="0.25">
      <c r="A373" s="726" t="s">
        <v>84</v>
      </c>
      <c r="B373" s="727"/>
      <c r="C373" s="742" t="s">
        <v>1332</v>
      </c>
      <c r="D373" s="743"/>
      <c r="E373" s="743"/>
      <c r="F373" s="743"/>
      <c r="G373" s="744"/>
      <c r="H373" s="540" t="s">
        <v>807</v>
      </c>
      <c r="I373" s="542"/>
      <c r="J373" s="542"/>
      <c r="K373" s="542"/>
      <c r="L373" s="542"/>
      <c r="M373" s="542"/>
      <c r="N373" s="542"/>
      <c r="O373" s="542"/>
      <c r="P373" s="542"/>
      <c r="Q373" s="542"/>
      <c r="R373" s="542"/>
      <c r="S373" s="542"/>
      <c r="T373" s="542"/>
      <c r="U373" s="542"/>
      <c r="V373" s="542"/>
      <c r="W373" s="540"/>
    </row>
    <row r="374" spans="1:23" s="539" customFormat="1" ht="16.5" customHeight="1" x14ac:dyDescent="0.25">
      <c r="A374" s="726" t="s">
        <v>1333</v>
      </c>
      <c r="B374" s="727"/>
      <c r="C374" s="755" t="s">
        <v>809</v>
      </c>
      <c r="D374" s="756"/>
      <c r="E374" s="756"/>
      <c r="F374" s="756"/>
      <c r="G374" s="757"/>
      <c r="H374" s="540" t="s">
        <v>807</v>
      </c>
      <c r="I374" s="542"/>
      <c r="J374" s="542"/>
      <c r="K374" s="542"/>
      <c r="L374" s="542"/>
      <c r="M374" s="542"/>
      <c r="N374" s="542"/>
      <c r="O374" s="542"/>
      <c r="P374" s="542"/>
      <c r="Q374" s="542"/>
      <c r="R374" s="542"/>
      <c r="S374" s="542"/>
      <c r="T374" s="542"/>
      <c r="U374" s="542"/>
      <c r="V374" s="542"/>
      <c r="W374" s="540"/>
    </row>
    <row r="375" spans="1:23" s="539" customFormat="1" ht="16.5" customHeight="1" x14ac:dyDescent="0.25">
      <c r="A375" s="726" t="s">
        <v>1334</v>
      </c>
      <c r="B375" s="727"/>
      <c r="C375" s="755" t="s">
        <v>810</v>
      </c>
      <c r="D375" s="756"/>
      <c r="E375" s="756"/>
      <c r="F375" s="756"/>
      <c r="G375" s="757"/>
      <c r="H375" s="540" t="s">
        <v>807</v>
      </c>
      <c r="I375" s="542"/>
      <c r="J375" s="542"/>
      <c r="K375" s="542"/>
      <c r="L375" s="542"/>
      <c r="M375" s="542"/>
      <c r="N375" s="542"/>
      <c r="O375" s="542"/>
      <c r="P375" s="542"/>
      <c r="Q375" s="542"/>
      <c r="R375" s="542"/>
      <c r="S375" s="542"/>
      <c r="T375" s="542"/>
      <c r="U375" s="542"/>
      <c r="V375" s="542"/>
      <c r="W375" s="540"/>
    </row>
    <row r="376" spans="1:23" s="539" customFormat="1" ht="16.5" customHeight="1" x14ac:dyDescent="0.25">
      <c r="A376" s="726" t="s">
        <v>1335</v>
      </c>
      <c r="B376" s="727"/>
      <c r="C376" s="755" t="s">
        <v>811</v>
      </c>
      <c r="D376" s="756"/>
      <c r="E376" s="756"/>
      <c r="F376" s="756"/>
      <c r="G376" s="757"/>
      <c r="H376" s="540" t="s">
        <v>807</v>
      </c>
      <c r="I376" s="542"/>
      <c r="J376" s="542"/>
      <c r="K376" s="542"/>
      <c r="L376" s="542"/>
      <c r="M376" s="542"/>
      <c r="N376" s="542"/>
      <c r="O376" s="542"/>
      <c r="P376" s="542"/>
      <c r="Q376" s="542"/>
      <c r="R376" s="542"/>
      <c r="S376" s="542"/>
      <c r="T376" s="542"/>
      <c r="U376" s="542"/>
      <c r="V376" s="542"/>
      <c r="W376" s="540"/>
    </row>
    <row r="377" spans="1:23" s="539" customFormat="1" x14ac:dyDescent="0.25">
      <c r="A377" s="726" t="s">
        <v>86</v>
      </c>
      <c r="B377" s="727"/>
      <c r="C377" s="742" t="s">
        <v>1336</v>
      </c>
      <c r="D377" s="743"/>
      <c r="E377" s="743"/>
      <c r="F377" s="743"/>
      <c r="G377" s="744"/>
      <c r="H377" s="540" t="s">
        <v>807</v>
      </c>
      <c r="I377" s="542"/>
      <c r="J377" s="542"/>
      <c r="K377" s="542"/>
      <c r="L377" s="542"/>
      <c r="M377" s="542"/>
      <c r="N377" s="542"/>
      <c r="O377" s="542"/>
      <c r="P377" s="542"/>
      <c r="Q377" s="542"/>
      <c r="R377" s="542"/>
      <c r="S377" s="542"/>
      <c r="T377" s="542"/>
      <c r="U377" s="542"/>
      <c r="V377" s="542"/>
      <c r="W377" s="540"/>
    </row>
    <row r="378" spans="1:23" s="539" customFormat="1" x14ac:dyDescent="0.25">
      <c r="A378" s="745" t="s">
        <v>88</v>
      </c>
      <c r="B378" s="746"/>
      <c r="C378" s="761" t="s">
        <v>1337</v>
      </c>
      <c r="D378" s="762"/>
      <c r="E378" s="762"/>
      <c r="F378" s="762"/>
      <c r="G378" s="763"/>
      <c r="H378" s="543" t="s">
        <v>807</v>
      </c>
      <c r="I378" s="544">
        <v>3.41</v>
      </c>
      <c r="J378" s="544">
        <v>5.7850000000000001</v>
      </c>
      <c r="K378" s="544">
        <v>5.7329999999999997</v>
      </c>
      <c r="L378" s="544">
        <f>L152</f>
        <v>8.1010000000000009</v>
      </c>
      <c r="M378" s="544">
        <f t="shared" ref="M378:U378" si="209">M152</f>
        <v>0</v>
      </c>
      <c r="N378" s="544">
        <f t="shared" si="209"/>
        <v>8.4819999999999993</v>
      </c>
      <c r="O378" s="544">
        <f t="shared" si="209"/>
        <v>0</v>
      </c>
      <c r="P378" s="544">
        <f t="shared" si="209"/>
        <v>8.8800000000000008</v>
      </c>
      <c r="Q378" s="544">
        <f t="shared" si="209"/>
        <v>0</v>
      </c>
      <c r="R378" s="544">
        <f t="shared" si="209"/>
        <v>9.298</v>
      </c>
      <c r="S378" s="544">
        <f t="shared" si="209"/>
        <v>0</v>
      </c>
      <c r="T378" s="544">
        <f t="shared" si="209"/>
        <v>9.7349999999999994</v>
      </c>
      <c r="U378" s="544">
        <f t="shared" si="209"/>
        <v>0</v>
      </c>
      <c r="V378" s="544">
        <f>L378+N378+P378+R378+T378</f>
        <v>44.496000000000002</v>
      </c>
      <c r="W378" s="544">
        <f>M378+O378+S378</f>
        <v>0</v>
      </c>
    </row>
    <row r="379" spans="1:23" s="539" customFormat="1" x14ac:dyDescent="0.25">
      <c r="A379" s="726" t="s">
        <v>1338</v>
      </c>
      <c r="B379" s="727"/>
      <c r="C379" s="742" t="s">
        <v>1339</v>
      </c>
      <c r="D379" s="743"/>
      <c r="E379" s="743"/>
      <c r="F379" s="743"/>
      <c r="G379" s="744"/>
      <c r="H379" s="540" t="s">
        <v>807</v>
      </c>
      <c r="I379" s="542"/>
      <c r="J379" s="542"/>
      <c r="K379" s="542"/>
      <c r="L379" s="542"/>
      <c r="M379" s="542"/>
      <c r="N379" s="542"/>
      <c r="O379" s="542"/>
      <c r="P379" s="542"/>
      <c r="Q379" s="542"/>
      <c r="R379" s="542"/>
      <c r="S379" s="542"/>
      <c r="T379" s="542"/>
      <c r="U379" s="542"/>
      <c r="V379" s="542"/>
      <c r="W379" s="540"/>
    </row>
    <row r="380" spans="1:23" s="539" customFormat="1" x14ac:dyDescent="0.25">
      <c r="A380" s="726" t="s">
        <v>1340</v>
      </c>
      <c r="B380" s="727"/>
      <c r="C380" s="742" t="s">
        <v>1341</v>
      </c>
      <c r="D380" s="743"/>
      <c r="E380" s="743"/>
      <c r="F380" s="743"/>
      <c r="G380" s="744"/>
      <c r="H380" s="540" t="s">
        <v>807</v>
      </c>
      <c r="I380" s="542"/>
      <c r="J380" s="542"/>
      <c r="K380" s="542"/>
      <c r="L380" s="542"/>
      <c r="M380" s="542"/>
      <c r="N380" s="542"/>
      <c r="O380" s="542"/>
      <c r="P380" s="542"/>
      <c r="Q380" s="542"/>
      <c r="R380" s="542"/>
      <c r="S380" s="542"/>
      <c r="T380" s="542"/>
      <c r="U380" s="542"/>
      <c r="V380" s="542"/>
      <c r="W380" s="540"/>
    </row>
    <row r="381" spans="1:23" s="539" customFormat="1" ht="16.5" customHeight="1" x14ac:dyDescent="0.25">
      <c r="A381" s="726" t="s">
        <v>1342</v>
      </c>
      <c r="B381" s="727"/>
      <c r="C381" s="755" t="s">
        <v>1343</v>
      </c>
      <c r="D381" s="756"/>
      <c r="E381" s="756"/>
      <c r="F381" s="756"/>
      <c r="G381" s="757"/>
      <c r="H381" s="540" t="s">
        <v>807</v>
      </c>
      <c r="I381" s="542"/>
      <c r="J381" s="542"/>
      <c r="K381" s="542"/>
      <c r="L381" s="542"/>
      <c r="M381" s="542"/>
      <c r="N381" s="542"/>
      <c r="O381" s="542"/>
      <c r="P381" s="542"/>
      <c r="Q381" s="542"/>
      <c r="R381" s="542"/>
      <c r="S381" s="542"/>
      <c r="T381" s="542"/>
      <c r="U381" s="542"/>
      <c r="V381" s="542"/>
      <c r="W381" s="540"/>
    </row>
    <row r="382" spans="1:23" s="539" customFormat="1" x14ac:dyDescent="0.25">
      <c r="A382" s="726" t="s">
        <v>1344</v>
      </c>
      <c r="B382" s="727"/>
      <c r="C382" s="764" t="s">
        <v>1345</v>
      </c>
      <c r="D382" s="765"/>
      <c r="E382" s="765"/>
      <c r="F382" s="765"/>
      <c r="G382" s="766"/>
      <c r="H382" s="540" t="s">
        <v>807</v>
      </c>
      <c r="I382" s="542"/>
      <c r="J382" s="542"/>
      <c r="K382" s="542"/>
      <c r="L382" s="542"/>
      <c r="M382" s="542"/>
      <c r="N382" s="542"/>
      <c r="O382" s="542"/>
      <c r="P382" s="542"/>
      <c r="Q382" s="542"/>
      <c r="R382" s="542"/>
      <c r="S382" s="542"/>
      <c r="T382" s="542"/>
      <c r="U382" s="542"/>
      <c r="V382" s="542"/>
      <c r="W382" s="540"/>
    </row>
    <row r="383" spans="1:23" s="539" customFormat="1" x14ac:dyDescent="0.25">
      <c r="A383" s="726" t="s">
        <v>1346</v>
      </c>
      <c r="B383" s="727"/>
      <c r="C383" s="755" t="s">
        <v>1347</v>
      </c>
      <c r="D383" s="756"/>
      <c r="E383" s="756"/>
      <c r="F383" s="756"/>
      <c r="G383" s="757"/>
      <c r="H383" s="540" t="s">
        <v>807</v>
      </c>
      <c r="I383" s="542"/>
      <c r="J383" s="542"/>
      <c r="K383" s="542"/>
      <c r="L383" s="542"/>
      <c r="M383" s="542"/>
      <c r="N383" s="542"/>
      <c r="O383" s="542"/>
      <c r="P383" s="542"/>
      <c r="Q383" s="542"/>
      <c r="R383" s="542"/>
      <c r="S383" s="542"/>
      <c r="T383" s="542"/>
      <c r="U383" s="542"/>
      <c r="V383" s="542"/>
      <c r="W383" s="540"/>
    </row>
    <row r="384" spans="1:23" s="539" customFormat="1" x14ac:dyDescent="0.25">
      <c r="A384" s="726" t="s">
        <v>1348</v>
      </c>
      <c r="B384" s="727"/>
      <c r="C384" s="764" t="s">
        <v>1345</v>
      </c>
      <c r="D384" s="765"/>
      <c r="E384" s="765"/>
      <c r="F384" s="765"/>
      <c r="G384" s="766"/>
      <c r="H384" s="540" t="s">
        <v>807</v>
      </c>
      <c r="I384" s="542"/>
      <c r="J384" s="542"/>
      <c r="K384" s="542"/>
      <c r="L384" s="542"/>
      <c r="M384" s="542"/>
      <c r="N384" s="542"/>
      <c r="O384" s="542"/>
      <c r="P384" s="542"/>
      <c r="Q384" s="542"/>
      <c r="R384" s="542"/>
      <c r="S384" s="542"/>
      <c r="T384" s="542"/>
      <c r="U384" s="542"/>
      <c r="V384" s="542"/>
      <c r="W384" s="540"/>
    </row>
    <row r="385" spans="1:23" s="539" customFormat="1" x14ac:dyDescent="0.25">
      <c r="A385" s="726" t="s">
        <v>1349</v>
      </c>
      <c r="B385" s="727"/>
      <c r="C385" s="742" t="s">
        <v>1350</v>
      </c>
      <c r="D385" s="743"/>
      <c r="E385" s="743"/>
      <c r="F385" s="743"/>
      <c r="G385" s="744"/>
      <c r="H385" s="540" t="s">
        <v>807</v>
      </c>
      <c r="I385" s="542"/>
      <c r="J385" s="542"/>
      <c r="K385" s="542"/>
      <c r="L385" s="542"/>
      <c r="M385" s="542"/>
      <c r="N385" s="542"/>
      <c r="O385" s="542"/>
      <c r="P385" s="542"/>
      <c r="Q385" s="542"/>
      <c r="R385" s="542"/>
      <c r="S385" s="542"/>
      <c r="T385" s="542"/>
      <c r="U385" s="542"/>
      <c r="V385" s="542"/>
      <c r="W385" s="540"/>
    </row>
    <row r="386" spans="1:23" s="539" customFormat="1" x14ac:dyDescent="0.25">
      <c r="A386" s="726" t="s">
        <v>1351</v>
      </c>
      <c r="B386" s="727"/>
      <c r="C386" s="742" t="s">
        <v>1162</v>
      </c>
      <c r="D386" s="743"/>
      <c r="E386" s="743"/>
      <c r="F386" s="743"/>
      <c r="G386" s="744"/>
      <c r="H386" s="540" t="s">
        <v>807</v>
      </c>
      <c r="I386" s="542"/>
      <c r="J386" s="542"/>
      <c r="K386" s="542"/>
      <c r="L386" s="542"/>
      <c r="M386" s="542"/>
      <c r="N386" s="542"/>
      <c r="O386" s="542"/>
      <c r="P386" s="542"/>
      <c r="Q386" s="542"/>
      <c r="R386" s="542"/>
      <c r="S386" s="542"/>
      <c r="T386" s="542"/>
      <c r="U386" s="542"/>
      <c r="V386" s="542"/>
      <c r="W386" s="540"/>
    </row>
    <row r="387" spans="1:23" s="539" customFormat="1" ht="16.5" customHeight="1" x14ac:dyDescent="0.25">
      <c r="A387" s="726" t="s">
        <v>1352</v>
      </c>
      <c r="B387" s="727"/>
      <c r="C387" s="742" t="s">
        <v>1353</v>
      </c>
      <c r="D387" s="743"/>
      <c r="E387" s="743"/>
      <c r="F387" s="743"/>
      <c r="G387" s="744"/>
      <c r="H387" s="540" t="s">
        <v>807</v>
      </c>
      <c r="I387" s="542"/>
      <c r="J387" s="542"/>
      <c r="K387" s="542"/>
      <c r="L387" s="542"/>
      <c r="M387" s="542"/>
      <c r="N387" s="542"/>
      <c r="O387" s="542"/>
      <c r="P387" s="542"/>
      <c r="Q387" s="542"/>
      <c r="R387" s="542"/>
      <c r="S387" s="542"/>
      <c r="T387" s="542"/>
      <c r="U387" s="542"/>
      <c r="V387" s="542"/>
      <c r="W387" s="540"/>
    </row>
    <row r="388" spans="1:23" s="539" customFormat="1" x14ac:dyDescent="0.25">
      <c r="A388" s="726" t="s">
        <v>1354</v>
      </c>
      <c r="B388" s="727"/>
      <c r="C388" s="755" t="s">
        <v>824</v>
      </c>
      <c r="D388" s="756"/>
      <c r="E388" s="756"/>
      <c r="F388" s="756"/>
      <c r="G388" s="757"/>
      <c r="H388" s="540" t="s">
        <v>807</v>
      </c>
      <c r="I388" s="542"/>
      <c r="J388" s="542"/>
      <c r="K388" s="542"/>
      <c r="L388" s="542"/>
      <c r="M388" s="542"/>
      <c r="N388" s="542"/>
      <c r="O388" s="542"/>
      <c r="P388" s="542"/>
      <c r="Q388" s="542"/>
      <c r="R388" s="542"/>
      <c r="S388" s="542"/>
      <c r="T388" s="542"/>
      <c r="U388" s="542"/>
      <c r="V388" s="542"/>
      <c r="W388" s="540"/>
    </row>
    <row r="389" spans="1:23" s="539" customFormat="1" x14ac:dyDescent="0.25">
      <c r="A389" s="726" t="s">
        <v>1355</v>
      </c>
      <c r="B389" s="727"/>
      <c r="C389" s="755" t="s">
        <v>826</v>
      </c>
      <c r="D389" s="756"/>
      <c r="E389" s="756"/>
      <c r="F389" s="756"/>
      <c r="G389" s="757"/>
      <c r="H389" s="540" t="s">
        <v>807</v>
      </c>
      <c r="I389" s="542"/>
      <c r="J389" s="542"/>
      <c r="K389" s="542"/>
      <c r="L389" s="542"/>
      <c r="M389" s="542"/>
      <c r="N389" s="542"/>
      <c r="O389" s="542"/>
      <c r="P389" s="542"/>
      <c r="Q389" s="542"/>
      <c r="R389" s="542"/>
      <c r="S389" s="542"/>
      <c r="T389" s="542"/>
      <c r="U389" s="542"/>
      <c r="V389" s="542"/>
      <c r="W389" s="540"/>
    </row>
    <row r="390" spans="1:23" s="539" customFormat="1" ht="16.5" customHeight="1" x14ac:dyDescent="0.25">
      <c r="A390" s="726" t="s">
        <v>90</v>
      </c>
      <c r="B390" s="727"/>
      <c r="C390" s="731" t="s">
        <v>1356</v>
      </c>
      <c r="D390" s="732"/>
      <c r="E390" s="732"/>
      <c r="F390" s="732"/>
      <c r="G390" s="733"/>
      <c r="H390" s="540" t="s">
        <v>807</v>
      </c>
      <c r="I390" s="542"/>
      <c r="J390" s="542"/>
      <c r="K390" s="542"/>
      <c r="L390" s="542"/>
      <c r="M390" s="542"/>
      <c r="N390" s="542"/>
      <c r="O390" s="542"/>
      <c r="P390" s="542"/>
      <c r="Q390" s="542"/>
      <c r="R390" s="542"/>
      <c r="S390" s="542"/>
      <c r="T390" s="542"/>
      <c r="U390" s="542"/>
      <c r="V390" s="542"/>
      <c r="W390" s="540"/>
    </row>
    <row r="391" spans="1:23" s="539" customFormat="1" ht="16.5" customHeight="1" x14ac:dyDescent="0.25">
      <c r="A391" s="726" t="s">
        <v>92</v>
      </c>
      <c r="B391" s="727"/>
      <c r="C391" s="742" t="s">
        <v>809</v>
      </c>
      <c r="D391" s="743"/>
      <c r="E391" s="743"/>
      <c r="F391" s="743"/>
      <c r="G391" s="744"/>
      <c r="H391" s="540" t="s">
        <v>807</v>
      </c>
      <c r="I391" s="542"/>
      <c r="J391" s="542"/>
      <c r="K391" s="542"/>
      <c r="L391" s="542"/>
      <c r="M391" s="542"/>
      <c r="N391" s="542"/>
      <c r="O391" s="542"/>
      <c r="P391" s="542"/>
      <c r="Q391" s="542"/>
      <c r="R391" s="542"/>
      <c r="S391" s="542"/>
      <c r="T391" s="542"/>
      <c r="U391" s="542"/>
      <c r="V391" s="542"/>
      <c r="W391" s="540"/>
    </row>
    <row r="392" spans="1:23" s="539" customFormat="1" ht="16.5" customHeight="1" x14ac:dyDescent="0.25">
      <c r="A392" s="726" t="s">
        <v>94</v>
      </c>
      <c r="B392" s="727"/>
      <c r="C392" s="742" t="s">
        <v>810</v>
      </c>
      <c r="D392" s="743"/>
      <c r="E392" s="743"/>
      <c r="F392" s="743"/>
      <c r="G392" s="744"/>
      <c r="H392" s="540" t="s">
        <v>807</v>
      </c>
      <c r="I392" s="542"/>
      <c r="J392" s="542"/>
      <c r="K392" s="542"/>
      <c r="L392" s="542"/>
      <c r="M392" s="542"/>
      <c r="N392" s="542"/>
      <c r="O392" s="542"/>
      <c r="P392" s="542"/>
      <c r="Q392" s="542"/>
      <c r="R392" s="542"/>
      <c r="S392" s="542"/>
      <c r="T392" s="542"/>
      <c r="U392" s="542"/>
      <c r="V392" s="542"/>
      <c r="W392" s="540"/>
    </row>
    <row r="393" spans="1:23" s="539" customFormat="1" ht="16.5" customHeight="1" x14ac:dyDescent="0.25">
      <c r="A393" s="726" t="s">
        <v>1357</v>
      </c>
      <c r="B393" s="727"/>
      <c r="C393" s="742" t="s">
        <v>811</v>
      </c>
      <c r="D393" s="743"/>
      <c r="E393" s="743"/>
      <c r="F393" s="743"/>
      <c r="G393" s="744"/>
      <c r="H393" s="540" t="s">
        <v>807</v>
      </c>
      <c r="I393" s="542"/>
      <c r="J393" s="542"/>
      <c r="K393" s="542"/>
      <c r="L393" s="542"/>
      <c r="M393" s="542"/>
      <c r="N393" s="542"/>
      <c r="O393" s="542"/>
      <c r="P393" s="542"/>
      <c r="Q393" s="542"/>
      <c r="R393" s="542"/>
      <c r="S393" s="542"/>
      <c r="T393" s="542"/>
      <c r="U393" s="542"/>
      <c r="V393" s="542"/>
      <c r="W393" s="540"/>
    </row>
    <row r="394" spans="1:23" s="539" customFormat="1" x14ac:dyDescent="0.25">
      <c r="A394" s="745" t="s">
        <v>96</v>
      </c>
      <c r="B394" s="746"/>
      <c r="C394" s="758" t="s">
        <v>1358</v>
      </c>
      <c r="D394" s="759"/>
      <c r="E394" s="759"/>
      <c r="F394" s="759"/>
      <c r="G394" s="760"/>
      <c r="H394" s="543" t="s">
        <v>807</v>
      </c>
      <c r="I394" s="544"/>
      <c r="J394" s="544">
        <v>0.67</v>
      </c>
      <c r="K394" s="544"/>
      <c r="L394" s="544"/>
      <c r="M394" s="544"/>
      <c r="N394" s="544"/>
      <c r="O394" s="544"/>
      <c r="P394" s="544"/>
      <c r="Q394" s="544"/>
      <c r="R394" s="544"/>
      <c r="S394" s="544"/>
      <c r="T394" s="544"/>
      <c r="U394" s="544"/>
      <c r="V394" s="544"/>
      <c r="W394" s="543"/>
    </row>
    <row r="395" spans="1:23" s="539" customFormat="1" x14ac:dyDescent="0.25">
      <c r="A395" s="745" t="s">
        <v>42</v>
      </c>
      <c r="B395" s="746"/>
      <c r="C395" s="747" t="s">
        <v>1359</v>
      </c>
      <c r="D395" s="748"/>
      <c r="E395" s="748"/>
      <c r="F395" s="748"/>
      <c r="G395" s="749"/>
      <c r="H395" s="543" t="s">
        <v>807</v>
      </c>
      <c r="I395" s="544">
        <f t="shared" ref="I395:K395" si="210">I396+I409+I410</f>
        <v>1.5680000000000001</v>
      </c>
      <c r="J395" s="544">
        <f t="shared" si="210"/>
        <v>3.605</v>
      </c>
      <c r="K395" s="544">
        <f t="shared" si="210"/>
        <v>3.129</v>
      </c>
      <c r="L395" s="544">
        <f t="shared" ref="L395:U395" si="211">L396+L409+L410</f>
        <v>5.5470640000000007</v>
      </c>
      <c r="M395" s="544">
        <f t="shared" si="211"/>
        <v>0</v>
      </c>
      <c r="N395" s="544">
        <f t="shared" si="211"/>
        <v>5.8077760080000003</v>
      </c>
      <c r="O395" s="544">
        <f t="shared" si="211"/>
        <v>0</v>
      </c>
      <c r="P395" s="544">
        <f t="shared" si="211"/>
        <v>6.080741480376</v>
      </c>
      <c r="Q395" s="544">
        <f t="shared" si="211"/>
        <v>0</v>
      </c>
      <c r="R395" s="544">
        <f t="shared" si="211"/>
        <v>6.3665363299536715</v>
      </c>
      <c r="S395" s="544">
        <f t="shared" si="211"/>
        <v>0</v>
      </c>
      <c r="T395" s="544">
        <f t="shared" si="211"/>
        <v>6.6657635374614932</v>
      </c>
      <c r="U395" s="544">
        <f t="shared" si="211"/>
        <v>0</v>
      </c>
      <c r="V395" s="544">
        <f>L395+N395+P395+R395+T395</f>
        <v>30.467881355791167</v>
      </c>
      <c r="W395" s="544">
        <f t="shared" ref="V395:W395" si="212">W396+W409+W410</f>
        <v>0</v>
      </c>
    </row>
    <row r="396" spans="1:23" s="539" customFormat="1" x14ac:dyDescent="0.25">
      <c r="A396" s="745" t="s">
        <v>79</v>
      </c>
      <c r="B396" s="746"/>
      <c r="C396" s="758" t="s">
        <v>1360</v>
      </c>
      <c r="D396" s="759"/>
      <c r="E396" s="759"/>
      <c r="F396" s="759"/>
      <c r="G396" s="760"/>
      <c r="H396" s="543" t="s">
        <v>807</v>
      </c>
      <c r="I396" s="544">
        <v>0.50600000000000001</v>
      </c>
      <c r="J396" s="544">
        <f t="shared" ref="J396:K396" si="213">J402</f>
        <v>1.3660000000000001</v>
      </c>
      <c r="K396" s="544">
        <f t="shared" si="213"/>
        <v>3.129</v>
      </c>
      <c r="L396" s="544">
        <f t="shared" ref="L396:U396" si="214">L402</f>
        <v>5.5470640000000007</v>
      </c>
      <c r="M396" s="544">
        <f t="shared" si="214"/>
        <v>0</v>
      </c>
      <c r="N396" s="544">
        <f t="shared" si="214"/>
        <v>5.8077760080000003</v>
      </c>
      <c r="O396" s="544">
        <f t="shared" si="214"/>
        <v>0</v>
      </c>
      <c r="P396" s="544">
        <f t="shared" si="214"/>
        <v>6.080741480376</v>
      </c>
      <c r="Q396" s="544">
        <f t="shared" si="214"/>
        <v>0</v>
      </c>
      <c r="R396" s="544">
        <f t="shared" si="214"/>
        <v>6.3665363299536715</v>
      </c>
      <c r="S396" s="544">
        <f t="shared" si="214"/>
        <v>0</v>
      </c>
      <c r="T396" s="544">
        <f t="shared" si="214"/>
        <v>6.6657635374614932</v>
      </c>
      <c r="U396" s="544">
        <f t="shared" si="214"/>
        <v>0</v>
      </c>
      <c r="V396" s="544">
        <f>L396+N396+P396+R396+T396</f>
        <v>30.467881355791167</v>
      </c>
      <c r="W396" s="544">
        <f t="shared" ref="V396:W396" si="215">W402</f>
        <v>0</v>
      </c>
    </row>
    <row r="397" spans="1:23" s="539" customFormat="1" x14ac:dyDescent="0.25">
      <c r="A397" s="726" t="s">
        <v>44</v>
      </c>
      <c r="B397" s="727"/>
      <c r="C397" s="742" t="s">
        <v>1361</v>
      </c>
      <c r="D397" s="743"/>
      <c r="E397" s="743"/>
      <c r="F397" s="743"/>
      <c r="G397" s="744"/>
      <c r="H397" s="540" t="s">
        <v>807</v>
      </c>
      <c r="I397" s="542"/>
      <c r="J397" s="542"/>
      <c r="K397" s="542"/>
      <c r="L397" s="542"/>
      <c r="M397" s="542"/>
      <c r="N397" s="542"/>
      <c r="O397" s="542"/>
      <c r="P397" s="542"/>
      <c r="Q397" s="542"/>
      <c r="R397" s="542"/>
      <c r="S397" s="542"/>
      <c r="T397" s="542"/>
      <c r="U397" s="542"/>
      <c r="V397" s="542"/>
      <c r="W397" s="540"/>
    </row>
    <row r="398" spans="1:23" s="539" customFormat="1" ht="16.5" customHeight="1" x14ac:dyDescent="0.25">
      <c r="A398" s="726" t="s">
        <v>46</v>
      </c>
      <c r="B398" s="727"/>
      <c r="C398" s="742" t="s">
        <v>809</v>
      </c>
      <c r="D398" s="743"/>
      <c r="E398" s="743"/>
      <c r="F398" s="743"/>
      <c r="G398" s="744"/>
      <c r="H398" s="540" t="s">
        <v>807</v>
      </c>
      <c r="I398" s="542"/>
      <c r="J398" s="542"/>
      <c r="K398" s="542"/>
      <c r="L398" s="542"/>
      <c r="M398" s="542"/>
      <c r="N398" s="542"/>
      <c r="O398" s="542"/>
      <c r="P398" s="542"/>
      <c r="Q398" s="542"/>
      <c r="R398" s="542"/>
      <c r="S398" s="542"/>
      <c r="T398" s="542"/>
      <c r="U398" s="542"/>
      <c r="V398" s="542"/>
      <c r="W398" s="540"/>
    </row>
    <row r="399" spans="1:23" s="539" customFormat="1" ht="16.5" customHeight="1" x14ac:dyDescent="0.25">
      <c r="A399" s="726" t="s">
        <v>527</v>
      </c>
      <c r="B399" s="727"/>
      <c r="C399" s="742" t="s">
        <v>810</v>
      </c>
      <c r="D399" s="743"/>
      <c r="E399" s="743"/>
      <c r="F399" s="743"/>
      <c r="G399" s="744"/>
      <c r="H399" s="540" t="s">
        <v>807</v>
      </c>
      <c r="I399" s="542"/>
      <c r="J399" s="542"/>
      <c r="K399" s="542"/>
      <c r="L399" s="542"/>
      <c r="M399" s="542"/>
      <c r="N399" s="542"/>
      <c r="O399" s="542"/>
      <c r="P399" s="542"/>
      <c r="Q399" s="542"/>
      <c r="R399" s="542"/>
      <c r="S399" s="542"/>
      <c r="T399" s="542"/>
      <c r="U399" s="542"/>
      <c r="V399" s="542"/>
      <c r="W399" s="540"/>
    </row>
    <row r="400" spans="1:23" s="539" customFormat="1" ht="16.5" customHeight="1" x14ac:dyDescent="0.25">
      <c r="A400" s="726" t="s">
        <v>700</v>
      </c>
      <c r="B400" s="727"/>
      <c r="C400" s="742" t="s">
        <v>811</v>
      </c>
      <c r="D400" s="743"/>
      <c r="E400" s="743"/>
      <c r="F400" s="743"/>
      <c r="G400" s="744"/>
      <c r="H400" s="540" t="s">
        <v>807</v>
      </c>
      <c r="I400" s="542"/>
      <c r="J400" s="542"/>
      <c r="K400" s="542"/>
      <c r="L400" s="542"/>
      <c r="M400" s="542"/>
      <c r="N400" s="542"/>
      <c r="O400" s="542"/>
      <c r="P400" s="542"/>
      <c r="Q400" s="542"/>
      <c r="R400" s="542"/>
      <c r="S400" s="542"/>
      <c r="T400" s="542"/>
      <c r="U400" s="542"/>
      <c r="V400" s="542"/>
      <c r="W400" s="540"/>
    </row>
    <row r="401" spans="1:23" s="539" customFormat="1" x14ac:dyDescent="0.25">
      <c r="A401" s="726" t="s">
        <v>112</v>
      </c>
      <c r="B401" s="727"/>
      <c r="C401" s="742" t="s">
        <v>1148</v>
      </c>
      <c r="D401" s="743"/>
      <c r="E401" s="743"/>
      <c r="F401" s="743"/>
      <c r="G401" s="744"/>
      <c r="H401" s="540" t="s">
        <v>807</v>
      </c>
      <c r="I401" s="542"/>
      <c r="J401" s="542"/>
      <c r="K401" s="542"/>
      <c r="L401" s="542"/>
      <c r="M401" s="542"/>
      <c r="N401" s="542"/>
      <c r="O401" s="542"/>
      <c r="P401" s="542"/>
      <c r="Q401" s="542"/>
      <c r="R401" s="542"/>
      <c r="S401" s="542"/>
      <c r="T401" s="542"/>
      <c r="U401" s="542"/>
      <c r="V401" s="542"/>
      <c r="W401" s="540"/>
    </row>
    <row r="402" spans="1:23" s="539" customFormat="1" x14ac:dyDescent="0.25">
      <c r="A402" s="745" t="s">
        <v>1362</v>
      </c>
      <c r="B402" s="746"/>
      <c r="C402" s="761" t="s">
        <v>1151</v>
      </c>
      <c r="D402" s="762"/>
      <c r="E402" s="762"/>
      <c r="F402" s="762"/>
      <c r="G402" s="763"/>
      <c r="H402" s="543" t="s">
        <v>807</v>
      </c>
      <c r="I402" s="544">
        <v>0.50600000000000001</v>
      </c>
      <c r="J402" s="544">
        <v>1.3660000000000001</v>
      </c>
      <c r="K402" s="544">
        <v>3.129</v>
      </c>
      <c r="L402" s="544">
        <f>L66</f>
        <v>5.5470640000000007</v>
      </c>
      <c r="M402" s="544">
        <f t="shared" ref="M402:U402" si="216">M66</f>
        <v>0</v>
      </c>
      <c r="N402" s="544">
        <f t="shared" si="216"/>
        <v>5.8077760080000003</v>
      </c>
      <c r="O402" s="544">
        <f t="shared" si="216"/>
        <v>0</v>
      </c>
      <c r="P402" s="544">
        <f t="shared" si="216"/>
        <v>6.080741480376</v>
      </c>
      <c r="Q402" s="544">
        <f t="shared" si="216"/>
        <v>0</v>
      </c>
      <c r="R402" s="544">
        <f t="shared" si="216"/>
        <v>6.3665363299536715</v>
      </c>
      <c r="S402" s="544">
        <f t="shared" si="216"/>
        <v>0</v>
      </c>
      <c r="T402" s="544">
        <f t="shared" si="216"/>
        <v>6.6657635374614932</v>
      </c>
      <c r="U402" s="544">
        <f t="shared" si="216"/>
        <v>0</v>
      </c>
      <c r="V402" s="544">
        <f>L402+N402+P402+R402+T402</f>
        <v>30.467881355791167</v>
      </c>
      <c r="W402" s="544">
        <f>M402+O402+S402</f>
        <v>0</v>
      </c>
    </row>
    <row r="403" spans="1:23" s="539" customFormat="1" x14ac:dyDescent="0.25">
      <c r="A403" s="726" t="s">
        <v>1363</v>
      </c>
      <c r="B403" s="727"/>
      <c r="C403" s="742" t="s">
        <v>1154</v>
      </c>
      <c r="D403" s="743"/>
      <c r="E403" s="743"/>
      <c r="F403" s="743"/>
      <c r="G403" s="744"/>
      <c r="H403" s="540" t="s">
        <v>807</v>
      </c>
      <c r="I403" s="542"/>
      <c r="J403" s="542"/>
      <c r="K403" s="542"/>
      <c r="L403" s="542"/>
      <c r="M403" s="542"/>
      <c r="N403" s="542"/>
      <c r="O403" s="542"/>
      <c r="P403" s="542"/>
      <c r="Q403" s="542"/>
      <c r="R403" s="542"/>
      <c r="S403" s="542"/>
      <c r="T403" s="542"/>
      <c r="U403" s="542"/>
      <c r="V403" s="542"/>
      <c r="W403" s="540"/>
    </row>
    <row r="404" spans="1:23" s="539" customFormat="1" x14ac:dyDescent="0.25">
      <c r="A404" s="726" t="s">
        <v>1364</v>
      </c>
      <c r="B404" s="727"/>
      <c r="C404" s="742" t="s">
        <v>1160</v>
      </c>
      <c r="D404" s="743"/>
      <c r="E404" s="743"/>
      <c r="F404" s="743"/>
      <c r="G404" s="744"/>
      <c r="H404" s="540" t="s">
        <v>807</v>
      </c>
      <c r="I404" s="542"/>
      <c r="J404" s="542"/>
      <c r="K404" s="542"/>
      <c r="L404" s="542"/>
      <c r="M404" s="542"/>
      <c r="N404" s="542"/>
      <c r="O404" s="542"/>
      <c r="P404" s="542"/>
      <c r="Q404" s="542"/>
      <c r="R404" s="542"/>
      <c r="S404" s="542"/>
      <c r="T404" s="542"/>
      <c r="U404" s="542"/>
      <c r="V404" s="542"/>
      <c r="W404" s="540"/>
    </row>
    <row r="405" spans="1:23" s="539" customFormat="1" x14ac:dyDescent="0.25">
      <c r="A405" s="726" t="s">
        <v>1365</v>
      </c>
      <c r="B405" s="727"/>
      <c r="C405" s="742" t="s">
        <v>1162</v>
      </c>
      <c r="D405" s="743"/>
      <c r="E405" s="743"/>
      <c r="F405" s="743"/>
      <c r="G405" s="744"/>
      <c r="H405" s="540" t="s">
        <v>807</v>
      </c>
      <c r="I405" s="542"/>
      <c r="J405" s="542"/>
      <c r="K405" s="542"/>
      <c r="L405" s="542"/>
      <c r="M405" s="542"/>
      <c r="N405" s="542"/>
      <c r="O405" s="542"/>
      <c r="P405" s="542"/>
      <c r="Q405" s="542"/>
      <c r="R405" s="542"/>
      <c r="S405" s="542"/>
      <c r="T405" s="542"/>
      <c r="U405" s="542"/>
      <c r="V405" s="542"/>
      <c r="W405" s="540"/>
    </row>
    <row r="406" spans="1:23" s="539" customFormat="1" ht="16.5" customHeight="1" x14ac:dyDescent="0.25">
      <c r="A406" s="726" t="s">
        <v>1366</v>
      </c>
      <c r="B406" s="727"/>
      <c r="C406" s="742" t="s">
        <v>1367</v>
      </c>
      <c r="D406" s="743"/>
      <c r="E406" s="743"/>
      <c r="F406" s="743"/>
      <c r="G406" s="744"/>
      <c r="H406" s="540" t="s">
        <v>807</v>
      </c>
      <c r="I406" s="542"/>
      <c r="J406" s="542"/>
      <c r="K406" s="542"/>
      <c r="L406" s="542"/>
      <c r="M406" s="542"/>
      <c r="N406" s="542"/>
      <c r="O406" s="542"/>
      <c r="P406" s="542"/>
      <c r="Q406" s="542"/>
      <c r="R406" s="542"/>
      <c r="S406" s="542"/>
      <c r="T406" s="542"/>
      <c r="U406" s="542"/>
      <c r="V406" s="542"/>
      <c r="W406" s="540"/>
    </row>
    <row r="407" spans="1:23" s="539" customFormat="1" x14ac:dyDescent="0.25">
      <c r="A407" s="726" t="s">
        <v>1368</v>
      </c>
      <c r="B407" s="727"/>
      <c r="C407" s="755" t="s">
        <v>824</v>
      </c>
      <c r="D407" s="756"/>
      <c r="E407" s="756"/>
      <c r="F407" s="756"/>
      <c r="G407" s="757"/>
      <c r="H407" s="540" t="s">
        <v>807</v>
      </c>
      <c r="I407" s="542"/>
      <c r="J407" s="542"/>
      <c r="K407" s="542"/>
      <c r="L407" s="542"/>
      <c r="M407" s="542"/>
      <c r="N407" s="542"/>
      <c r="O407" s="542"/>
      <c r="P407" s="542"/>
      <c r="Q407" s="542"/>
      <c r="R407" s="542"/>
      <c r="S407" s="542"/>
      <c r="T407" s="542"/>
      <c r="U407" s="542"/>
      <c r="V407" s="542"/>
      <c r="W407" s="540"/>
    </row>
    <row r="408" spans="1:23" s="539" customFormat="1" x14ac:dyDescent="0.25">
      <c r="A408" s="726" t="s">
        <v>1369</v>
      </c>
      <c r="B408" s="727"/>
      <c r="C408" s="755" t="s">
        <v>826</v>
      </c>
      <c r="D408" s="756"/>
      <c r="E408" s="756"/>
      <c r="F408" s="756"/>
      <c r="G408" s="757"/>
      <c r="H408" s="540" t="s">
        <v>807</v>
      </c>
      <c r="I408" s="542"/>
      <c r="J408" s="542"/>
      <c r="K408" s="542"/>
      <c r="L408" s="542"/>
      <c r="M408" s="542"/>
      <c r="N408" s="542"/>
      <c r="O408" s="542"/>
      <c r="P408" s="542"/>
      <c r="Q408" s="542"/>
      <c r="R408" s="542"/>
      <c r="S408" s="542"/>
      <c r="T408" s="542"/>
      <c r="U408" s="542"/>
      <c r="V408" s="542"/>
      <c r="W408" s="540"/>
    </row>
    <row r="409" spans="1:23" s="539" customFormat="1" x14ac:dyDescent="0.25">
      <c r="A409" s="745" t="s">
        <v>47</v>
      </c>
      <c r="B409" s="746"/>
      <c r="C409" s="758" t="s">
        <v>1370</v>
      </c>
      <c r="D409" s="759"/>
      <c r="E409" s="759"/>
      <c r="F409" s="759"/>
      <c r="G409" s="760"/>
      <c r="H409" s="543" t="s">
        <v>807</v>
      </c>
      <c r="I409" s="544">
        <v>1.0620000000000001</v>
      </c>
      <c r="J409" s="544">
        <v>2.2389999999999999</v>
      </c>
      <c r="K409" s="544"/>
      <c r="L409" s="544"/>
      <c r="M409" s="544"/>
      <c r="N409" s="544"/>
      <c r="O409" s="544"/>
      <c r="P409" s="544"/>
      <c r="Q409" s="544"/>
      <c r="R409" s="544"/>
      <c r="S409" s="544"/>
      <c r="T409" s="544"/>
      <c r="U409" s="544"/>
      <c r="V409" s="544">
        <f>L409+N409+R409</f>
        <v>0</v>
      </c>
      <c r="W409" s="544">
        <f>M409+O409+S409</f>
        <v>0</v>
      </c>
    </row>
    <row r="410" spans="1:23" s="539" customFormat="1" x14ac:dyDescent="0.25">
      <c r="A410" s="726" t="s">
        <v>116</v>
      </c>
      <c r="B410" s="727"/>
      <c r="C410" s="731" t="s">
        <v>1371</v>
      </c>
      <c r="D410" s="732"/>
      <c r="E410" s="732"/>
      <c r="F410" s="732"/>
      <c r="G410" s="733"/>
      <c r="H410" s="540" t="s">
        <v>807</v>
      </c>
      <c r="I410" s="542"/>
      <c r="J410" s="542"/>
      <c r="K410" s="542"/>
      <c r="L410" s="542"/>
      <c r="M410" s="542"/>
      <c r="N410" s="542"/>
      <c r="O410" s="542"/>
      <c r="P410" s="542"/>
      <c r="Q410" s="542"/>
      <c r="R410" s="542"/>
      <c r="S410" s="542"/>
      <c r="T410" s="542"/>
      <c r="U410" s="542"/>
      <c r="V410" s="542"/>
      <c r="W410" s="540"/>
    </row>
    <row r="411" spans="1:23" s="539" customFormat="1" x14ac:dyDescent="0.25">
      <c r="A411" s="726" t="s">
        <v>118</v>
      </c>
      <c r="B411" s="727"/>
      <c r="C411" s="742" t="s">
        <v>1361</v>
      </c>
      <c r="D411" s="743"/>
      <c r="E411" s="743"/>
      <c r="F411" s="743"/>
      <c r="G411" s="744"/>
      <c r="H411" s="540" t="s">
        <v>807</v>
      </c>
      <c r="I411" s="542"/>
      <c r="J411" s="542"/>
      <c r="K411" s="542"/>
      <c r="L411" s="542"/>
      <c r="M411" s="542"/>
      <c r="N411" s="542"/>
      <c r="O411" s="542"/>
      <c r="P411" s="542"/>
      <c r="Q411" s="542"/>
      <c r="R411" s="542"/>
      <c r="S411" s="542"/>
      <c r="T411" s="542"/>
      <c r="U411" s="542"/>
      <c r="V411" s="542"/>
      <c r="W411" s="540"/>
    </row>
    <row r="412" spans="1:23" s="539" customFormat="1" ht="16.5" customHeight="1" x14ac:dyDescent="0.25">
      <c r="A412" s="726" t="s">
        <v>701</v>
      </c>
      <c r="B412" s="727"/>
      <c r="C412" s="742" t="s">
        <v>809</v>
      </c>
      <c r="D412" s="743"/>
      <c r="E412" s="743"/>
      <c r="F412" s="743"/>
      <c r="G412" s="744"/>
      <c r="H412" s="540" t="s">
        <v>807</v>
      </c>
      <c r="I412" s="542"/>
      <c r="J412" s="542"/>
      <c r="K412" s="542"/>
      <c r="L412" s="542"/>
      <c r="M412" s="542"/>
      <c r="N412" s="542"/>
      <c r="O412" s="542"/>
      <c r="P412" s="542"/>
      <c r="Q412" s="542"/>
      <c r="R412" s="542"/>
      <c r="S412" s="542"/>
      <c r="T412" s="542"/>
      <c r="U412" s="542"/>
      <c r="V412" s="542"/>
      <c r="W412" s="540"/>
    </row>
    <row r="413" spans="1:23" s="539" customFormat="1" ht="16.5" customHeight="1" x14ac:dyDescent="0.25">
      <c r="A413" s="726" t="s">
        <v>702</v>
      </c>
      <c r="B413" s="727"/>
      <c r="C413" s="742" t="s">
        <v>810</v>
      </c>
      <c r="D413" s="743"/>
      <c r="E413" s="743"/>
      <c r="F413" s="743"/>
      <c r="G413" s="744"/>
      <c r="H413" s="540" t="s">
        <v>807</v>
      </c>
      <c r="I413" s="542"/>
      <c r="J413" s="542"/>
      <c r="K413" s="542"/>
      <c r="L413" s="542"/>
      <c r="M413" s="542"/>
      <c r="N413" s="542"/>
      <c r="O413" s="542"/>
      <c r="P413" s="542"/>
      <c r="Q413" s="542"/>
      <c r="R413" s="542"/>
      <c r="S413" s="542"/>
      <c r="T413" s="542"/>
      <c r="U413" s="542"/>
      <c r="V413" s="542"/>
      <c r="W413" s="540"/>
    </row>
    <row r="414" spans="1:23" s="539" customFormat="1" ht="16.5" customHeight="1" x14ac:dyDescent="0.25">
      <c r="A414" s="726" t="s">
        <v>702</v>
      </c>
      <c r="B414" s="727"/>
      <c r="C414" s="742" t="s">
        <v>811</v>
      </c>
      <c r="D414" s="743"/>
      <c r="E414" s="743"/>
      <c r="F414" s="743"/>
      <c r="G414" s="744"/>
      <c r="H414" s="540" t="s">
        <v>807</v>
      </c>
      <c r="I414" s="542"/>
      <c r="J414" s="542"/>
      <c r="K414" s="542"/>
      <c r="L414" s="542"/>
      <c r="M414" s="542"/>
      <c r="N414" s="542"/>
      <c r="O414" s="542"/>
      <c r="P414" s="542"/>
      <c r="Q414" s="542"/>
      <c r="R414" s="542"/>
      <c r="S414" s="542"/>
      <c r="T414" s="542"/>
      <c r="U414" s="542"/>
      <c r="V414" s="542"/>
      <c r="W414" s="540"/>
    </row>
    <row r="415" spans="1:23" s="539" customFormat="1" x14ac:dyDescent="0.25">
      <c r="A415" s="726" t="s">
        <v>120</v>
      </c>
      <c r="B415" s="727"/>
      <c r="C415" s="742" t="s">
        <v>1148</v>
      </c>
      <c r="D415" s="743"/>
      <c r="E415" s="743"/>
      <c r="F415" s="743"/>
      <c r="G415" s="744"/>
      <c r="H415" s="540" t="s">
        <v>807</v>
      </c>
      <c r="I415" s="542"/>
      <c r="J415" s="542"/>
      <c r="K415" s="542"/>
      <c r="L415" s="542"/>
      <c r="M415" s="542"/>
      <c r="N415" s="542"/>
      <c r="O415" s="542"/>
      <c r="P415" s="542"/>
      <c r="Q415" s="542"/>
      <c r="R415" s="542"/>
      <c r="S415" s="542"/>
      <c r="T415" s="542"/>
      <c r="U415" s="542"/>
      <c r="V415" s="542"/>
      <c r="W415" s="540"/>
    </row>
    <row r="416" spans="1:23" s="539" customFormat="1" x14ac:dyDescent="0.25">
      <c r="A416" s="726" t="s">
        <v>50</v>
      </c>
      <c r="B416" s="727"/>
      <c r="C416" s="742" t="s">
        <v>1151</v>
      </c>
      <c r="D416" s="743"/>
      <c r="E416" s="743"/>
      <c r="F416" s="743"/>
      <c r="G416" s="744"/>
      <c r="H416" s="540" t="s">
        <v>807</v>
      </c>
      <c r="I416" s="542"/>
      <c r="J416" s="542"/>
      <c r="K416" s="542"/>
      <c r="L416" s="542"/>
      <c r="M416" s="542"/>
      <c r="N416" s="542"/>
      <c r="O416" s="542"/>
      <c r="P416" s="542"/>
      <c r="Q416" s="542"/>
      <c r="R416" s="542"/>
      <c r="S416" s="542"/>
      <c r="T416" s="542"/>
      <c r="U416" s="542"/>
      <c r="V416" s="542"/>
      <c r="W416" s="540"/>
    </row>
    <row r="417" spans="1:23" s="539" customFormat="1" x14ac:dyDescent="0.25">
      <c r="A417" s="726" t="s">
        <v>52</v>
      </c>
      <c r="B417" s="727"/>
      <c r="C417" s="742" t="s">
        <v>1154</v>
      </c>
      <c r="D417" s="743"/>
      <c r="E417" s="743"/>
      <c r="F417" s="743"/>
      <c r="G417" s="744"/>
      <c r="H417" s="540" t="s">
        <v>807</v>
      </c>
      <c r="I417" s="542"/>
      <c r="J417" s="542"/>
      <c r="K417" s="542"/>
      <c r="L417" s="542"/>
      <c r="M417" s="542"/>
      <c r="N417" s="542"/>
      <c r="O417" s="542"/>
      <c r="P417" s="542"/>
      <c r="Q417" s="542"/>
      <c r="R417" s="542"/>
      <c r="S417" s="542"/>
      <c r="T417" s="542"/>
      <c r="U417" s="542"/>
      <c r="V417" s="542"/>
      <c r="W417" s="540"/>
    </row>
    <row r="418" spans="1:23" s="539" customFormat="1" x14ac:dyDescent="0.25">
      <c r="A418" s="726" t="s">
        <v>54</v>
      </c>
      <c r="B418" s="727"/>
      <c r="C418" s="742" t="s">
        <v>1160</v>
      </c>
      <c r="D418" s="743"/>
      <c r="E418" s="743"/>
      <c r="F418" s="743"/>
      <c r="G418" s="744"/>
      <c r="H418" s="540" t="s">
        <v>807</v>
      </c>
      <c r="I418" s="542"/>
      <c r="J418" s="542"/>
      <c r="K418" s="542"/>
      <c r="L418" s="542"/>
      <c r="M418" s="542"/>
      <c r="N418" s="542"/>
      <c r="O418" s="542"/>
      <c r="P418" s="542"/>
      <c r="Q418" s="542"/>
      <c r="R418" s="542"/>
      <c r="S418" s="542"/>
      <c r="T418" s="542"/>
      <c r="U418" s="542"/>
      <c r="V418" s="542"/>
      <c r="W418" s="540"/>
    </row>
    <row r="419" spans="1:23" s="539" customFormat="1" x14ac:dyDescent="0.25">
      <c r="A419" s="726" t="s">
        <v>56</v>
      </c>
      <c r="B419" s="727"/>
      <c r="C419" s="742" t="s">
        <v>1162</v>
      </c>
      <c r="D419" s="743"/>
      <c r="E419" s="743"/>
      <c r="F419" s="743"/>
      <c r="G419" s="744"/>
      <c r="H419" s="540" t="s">
        <v>807</v>
      </c>
      <c r="I419" s="542"/>
      <c r="J419" s="542"/>
      <c r="K419" s="542"/>
      <c r="L419" s="542"/>
      <c r="M419" s="542"/>
      <c r="N419" s="542"/>
      <c r="O419" s="542"/>
      <c r="P419" s="542"/>
      <c r="Q419" s="542"/>
      <c r="R419" s="542"/>
      <c r="S419" s="542"/>
      <c r="T419" s="542"/>
      <c r="U419" s="542"/>
      <c r="V419" s="542"/>
      <c r="W419" s="540"/>
    </row>
    <row r="420" spans="1:23" s="539" customFormat="1" ht="16.5" customHeight="1" x14ac:dyDescent="0.25">
      <c r="A420" s="726" t="s">
        <v>58</v>
      </c>
      <c r="B420" s="727"/>
      <c r="C420" s="742" t="s">
        <v>1367</v>
      </c>
      <c r="D420" s="743"/>
      <c r="E420" s="743"/>
      <c r="F420" s="743"/>
      <c r="G420" s="744"/>
      <c r="H420" s="540" t="s">
        <v>807</v>
      </c>
      <c r="I420" s="542"/>
      <c r="J420" s="542"/>
      <c r="K420" s="542"/>
      <c r="L420" s="542"/>
      <c r="M420" s="542"/>
      <c r="N420" s="542"/>
      <c r="O420" s="542"/>
      <c r="P420" s="542"/>
      <c r="Q420" s="542"/>
      <c r="R420" s="542"/>
      <c r="S420" s="542"/>
      <c r="T420" s="542"/>
      <c r="U420" s="542"/>
      <c r="V420" s="542"/>
      <c r="W420" s="540"/>
    </row>
    <row r="421" spans="1:23" s="539" customFormat="1" x14ac:dyDescent="0.25">
      <c r="A421" s="726" t="s">
        <v>1372</v>
      </c>
      <c r="B421" s="727"/>
      <c r="C421" s="755" t="s">
        <v>824</v>
      </c>
      <c r="D421" s="756"/>
      <c r="E421" s="756"/>
      <c r="F421" s="756"/>
      <c r="G421" s="757"/>
      <c r="H421" s="540" t="s">
        <v>807</v>
      </c>
      <c r="I421" s="542"/>
      <c r="J421" s="542"/>
      <c r="K421" s="542"/>
      <c r="L421" s="542"/>
      <c r="M421" s="542"/>
      <c r="N421" s="542"/>
      <c r="O421" s="542"/>
      <c r="P421" s="542"/>
      <c r="Q421" s="542"/>
      <c r="R421" s="542"/>
      <c r="S421" s="542"/>
      <c r="T421" s="542"/>
      <c r="U421" s="542"/>
      <c r="V421" s="542"/>
      <c r="W421" s="540"/>
    </row>
    <row r="422" spans="1:23" s="539" customFormat="1" x14ac:dyDescent="0.25">
      <c r="A422" s="726" t="s">
        <v>1373</v>
      </c>
      <c r="B422" s="727"/>
      <c r="C422" s="755" t="s">
        <v>826</v>
      </c>
      <c r="D422" s="756"/>
      <c r="E422" s="756"/>
      <c r="F422" s="756"/>
      <c r="G422" s="757"/>
      <c r="H422" s="540" t="s">
        <v>807</v>
      </c>
      <c r="I422" s="542"/>
      <c r="J422" s="542"/>
      <c r="K422" s="542"/>
      <c r="L422" s="542"/>
      <c r="M422" s="542"/>
      <c r="N422" s="542"/>
      <c r="O422" s="542"/>
      <c r="P422" s="542"/>
      <c r="Q422" s="542"/>
      <c r="R422" s="542"/>
      <c r="S422" s="542"/>
      <c r="T422" s="542"/>
      <c r="U422" s="542"/>
      <c r="V422" s="542"/>
      <c r="W422" s="540"/>
    </row>
    <row r="423" spans="1:23" s="539" customFormat="1" x14ac:dyDescent="0.25">
      <c r="A423" s="726" t="s">
        <v>68</v>
      </c>
      <c r="B423" s="727"/>
      <c r="C423" s="728" t="s">
        <v>1374</v>
      </c>
      <c r="D423" s="729"/>
      <c r="E423" s="729"/>
      <c r="F423" s="729"/>
      <c r="G423" s="730"/>
      <c r="H423" s="540" t="s">
        <v>807</v>
      </c>
      <c r="I423" s="542"/>
      <c r="J423" s="542"/>
      <c r="K423" s="542"/>
      <c r="L423" s="542"/>
      <c r="M423" s="542"/>
      <c r="N423" s="542"/>
      <c r="O423" s="542"/>
      <c r="P423" s="542"/>
      <c r="Q423" s="542"/>
      <c r="R423" s="542"/>
      <c r="S423" s="542"/>
      <c r="T423" s="542"/>
      <c r="U423" s="542"/>
      <c r="V423" s="542"/>
      <c r="W423" s="540"/>
    </row>
    <row r="424" spans="1:23" s="539" customFormat="1" x14ac:dyDescent="0.25">
      <c r="A424" s="726" t="s">
        <v>814</v>
      </c>
      <c r="B424" s="727"/>
      <c r="C424" s="728" t="s">
        <v>1375</v>
      </c>
      <c r="D424" s="729"/>
      <c r="E424" s="729"/>
      <c r="F424" s="729"/>
      <c r="G424" s="730"/>
      <c r="H424" s="540" t="s">
        <v>807</v>
      </c>
      <c r="I424" s="542"/>
      <c r="J424" s="542"/>
      <c r="K424" s="542"/>
      <c r="L424" s="542"/>
      <c r="M424" s="542"/>
      <c r="N424" s="542"/>
      <c r="O424" s="542"/>
      <c r="P424" s="542"/>
      <c r="Q424" s="542"/>
      <c r="R424" s="542"/>
      <c r="S424" s="542"/>
      <c r="T424" s="542"/>
      <c r="U424" s="542"/>
      <c r="V424" s="542"/>
      <c r="W424" s="540"/>
    </row>
    <row r="425" spans="1:23" s="539" customFormat="1" x14ac:dyDescent="0.25">
      <c r="A425" s="726" t="s">
        <v>1376</v>
      </c>
      <c r="B425" s="727"/>
      <c r="C425" s="731" t="s">
        <v>1377</v>
      </c>
      <c r="D425" s="732"/>
      <c r="E425" s="732"/>
      <c r="F425" s="732"/>
      <c r="G425" s="733"/>
      <c r="H425" s="540" t="s">
        <v>807</v>
      </c>
      <c r="I425" s="542"/>
      <c r="J425" s="542"/>
      <c r="K425" s="542"/>
      <c r="L425" s="542"/>
      <c r="M425" s="542"/>
      <c r="N425" s="542"/>
      <c r="O425" s="542"/>
      <c r="P425" s="542"/>
      <c r="Q425" s="542"/>
      <c r="R425" s="542"/>
      <c r="S425" s="542"/>
      <c r="T425" s="542"/>
      <c r="U425" s="542"/>
      <c r="V425" s="542"/>
      <c r="W425" s="540"/>
    </row>
    <row r="426" spans="1:23" s="539" customFormat="1" x14ac:dyDescent="0.25">
      <c r="A426" s="726" t="s">
        <v>1378</v>
      </c>
      <c r="B426" s="727"/>
      <c r="C426" s="731" t="s">
        <v>1379</v>
      </c>
      <c r="D426" s="732"/>
      <c r="E426" s="732"/>
      <c r="F426" s="732"/>
      <c r="G426" s="733"/>
      <c r="H426" s="540" t="s">
        <v>807</v>
      </c>
      <c r="I426" s="542"/>
      <c r="J426" s="542"/>
      <c r="K426" s="542"/>
      <c r="L426" s="542"/>
      <c r="M426" s="542"/>
      <c r="N426" s="542"/>
      <c r="O426" s="542"/>
      <c r="P426" s="542"/>
      <c r="Q426" s="542"/>
      <c r="R426" s="542"/>
      <c r="S426" s="542"/>
      <c r="T426" s="542"/>
      <c r="U426" s="542"/>
      <c r="V426" s="542"/>
      <c r="W426" s="540"/>
    </row>
    <row r="427" spans="1:23" s="539" customFormat="1" ht="9" customHeight="1" x14ac:dyDescent="0.25">
      <c r="A427" s="750" t="s">
        <v>829</v>
      </c>
      <c r="B427" s="751"/>
      <c r="C427" s="752" t="s">
        <v>1380</v>
      </c>
      <c r="D427" s="753"/>
      <c r="E427" s="753"/>
      <c r="F427" s="753"/>
      <c r="G427" s="754"/>
      <c r="H427" s="548" t="s">
        <v>807</v>
      </c>
      <c r="I427" s="549">
        <f t="shared" ref="I427:K427" si="217">SUM(I428:I432)+I437+I438</f>
        <v>0</v>
      </c>
      <c r="J427" s="549">
        <f t="shared" si="217"/>
        <v>0</v>
      </c>
      <c r="K427" s="549">
        <f t="shared" si="217"/>
        <v>1.9970000000000001</v>
      </c>
      <c r="L427" s="549">
        <f>SUM(L428:L432)+L437+L438</f>
        <v>0</v>
      </c>
      <c r="M427" s="549">
        <f t="shared" ref="M427:S427" si="218">SUM(M428:M432)+M437+M438</f>
        <v>0</v>
      </c>
      <c r="N427" s="549">
        <f t="shared" si="218"/>
        <v>0</v>
      </c>
      <c r="O427" s="549">
        <f t="shared" si="218"/>
        <v>0</v>
      </c>
      <c r="P427" s="549">
        <f t="shared" ref="P427:Q427" si="219">SUM(P428:P432)+P437+P438</f>
        <v>0</v>
      </c>
      <c r="Q427" s="549">
        <f t="shared" si="219"/>
        <v>0</v>
      </c>
      <c r="R427" s="549">
        <f t="shared" si="218"/>
        <v>0</v>
      </c>
      <c r="S427" s="549">
        <f t="shared" si="218"/>
        <v>0</v>
      </c>
      <c r="T427" s="549">
        <f t="shared" ref="T427:U427" si="220">SUM(T428:T432)+T437+T438</f>
        <v>0</v>
      </c>
      <c r="U427" s="549">
        <f t="shared" si="220"/>
        <v>0</v>
      </c>
      <c r="V427" s="549">
        <f>L427+N427+R427</f>
        <v>0</v>
      </c>
      <c r="W427" s="549">
        <f>M427+O427+S427</f>
        <v>0</v>
      </c>
    </row>
    <row r="428" spans="1:23" s="539" customFormat="1" x14ac:dyDescent="0.25">
      <c r="A428" s="726" t="s">
        <v>831</v>
      </c>
      <c r="B428" s="727"/>
      <c r="C428" s="728" t="s">
        <v>1381</v>
      </c>
      <c r="D428" s="729"/>
      <c r="E428" s="729"/>
      <c r="F428" s="729"/>
      <c r="G428" s="730"/>
      <c r="H428" s="540" t="s">
        <v>807</v>
      </c>
      <c r="I428" s="542"/>
      <c r="J428" s="542"/>
      <c r="K428" s="542"/>
      <c r="L428" s="542"/>
      <c r="M428" s="542"/>
      <c r="N428" s="542"/>
      <c r="O428" s="542"/>
      <c r="P428" s="542"/>
      <c r="Q428" s="542"/>
      <c r="R428" s="542"/>
      <c r="S428" s="542"/>
      <c r="T428" s="542"/>
      <c r="U428" s="542"/>
      <c r="V428" s="542"/>
      <c r="W428" s="540"/>
    </row>
    <row r="429" spans="1:23" s="539" customFormat="1" x14ac:dyDescent="0.25">
      <c r="A429" s="726" t="s">
        <v>835</v>
      </c>
      <c r="B429" s="727"/>
      <c r="C429" s="728" t="s">
        <v>1382</v>
      </c>
      <c r="D429" s="729"/>
      <c r="E429" s="729"/>
      <c r="F429" s="729"/>
      <c r="G429" s="730"/>
      <c r="H429" s="540" t="s">
        <v>807</v>
      </c>
      <c r="I429" s="542"/>
      <c r="J429" s="542"/>
      <c r="K429" s="542"/>
      <c r="L429" s="542"/>
      <c r="M429" s="542"/>
      <c r="N429" s="542"/>
      <c r="O429" s="542"/>
      <c r="P429" s="542"/>
      <c r="Q429" s="542"/>
      <c r="R429" s="542"/>
      <c r="S429" s="542"/>
      <c r="T429" s="542"/>
      <c r="U429" s="542"/>
      <c r="V429" s="542"/>
      <c r="W429" s="540"/>
    </row>
    <row r="430" spans="1:23" s="539" customFormat="1" x14ac:dyDescent="0.25">
      <c r="A430" s="726" t="s">
        <v>836</v>
      </c>
      <c r="B430" s="727"/>
      <c r="C430" s="728" t="s">
        <v>1383</v>
      </c>
      <c r="D430" s="729"/>
      <c r="E430" s="729"/>
      <c r="F430" s="729"/>
      <c r="G430" s="730"/>
      <c r="H430" s="540" t="s">
        <v>807</v>
      </c>
      <c r="I430" s="542"/>
      <c r="J430" s="542"/>
      <c r="K430" s="542"/>
      <c r="L430" s="542"/>
      <c r="M430" s="542"/>
      <c r="N430" s="542"/>
      <c r="O430" s="542"/>
      <c r="P430" s="542"/>
      <c r="Q430" s="542"/>
      <c r="R430" s="542"/>
      <c r="S430" s="542"/>
      <c r="T430" s="542"/>
      <c r="U430" s="542"/>
      <c r="V430" s="542"/>
      <c r="W430" s="540"/>
    </row>
    <row r="431" spans="1:23" s="539" customFormat="1" x14ac:dyDescent="0.25">
      <c r="A431" s="726" t="s">
        <v>837</v>
      </c>
      <c r="B431" s="727"/>
      <c r="C431" s="728" t="s">
        <v>1384</v>
      </c>
      <c r="D431" s="729"/>
      <c r="E431" s="729"/>
      <c r="F431" s="729"/>
      <c r="G431" s="730"/>
      <c r="H431" s="540" t="s">
        <v>807</v>
      </c>
      <c r="I431" s="542"/>
      <c r="J431" s="542"/>
      <c r="K431" s="542"/>
      <c r="L431" s="542"/>
      <c r="M431" s="542"/>
      <c r="N431" s="542"/>
      <c r="O431" s="542"/>
      <c r="P431" s="542"/>
      <c r="Q431" s="542"/>
      <c r="R431" s="542"/>
      <c r="S431" s="542"/>
      <c r="T431" s="542"/>
      <c r="U431" s="542"/>
      <c r="V431" s="542"/>
      <c r="W431" s="540"/>
    </row>
    <row r="432" spans="1:23" s="539" customFormat="1" x14ac:dyDescent="0.25">
      <c r="A432" s="726" t="s">
        <v>838</v>
      </c>
      <c r="B432" s="727"/>
      <c r="C432" s="728" t="s">
        <v>1385</v>
      </c>
      <c r="D432" s="729"/>
      <c r="E432" s="729"/>
      <c r="F432" s="729"/>
      <c r="G432" s="730"/>
      <c r="H432" s="540" t="s">
        <v>807</v>
      </c>
      <c r="I432" s="542"/>
      <c r="J432" s="542"/>
      <c r="K432" s="542"/>
      <c r="L432" s="542"/>
      <c r="M432" s="542"/>
      <c r="N432" s="542"/>
      <c r="O432" s="542"/>
      <c r="P432" s="542"/>
      <c r="Q432" s="542"/>
      <c r="R432" s="542"/>
      <c r="S432" s="542"/>
      <c r="T432" s="542"/>
      <c r="U432" s="542"/>
      <c r="V432" s="542"/>
      <c r="W432" s="540"/>
    </row>
    <row r="433" spans="1:23" s="539" customFormat="1" x14ac:dyDescent="0.25">
      <c r="A433" s="726" t="s">
        <v>878</v>
      </c>
      <c r="B433" s="727"/>
      <c r="C433" s="731" t="s">
        <v>1048</v>
      </c>
      <c r="D433" s="732"/>
      <c r="E433" s="732"/>
      <c r="F433" s="732"/>
      <c r="G433" s="733"/>
      <c r="H433" s="540" t="s">
        <v>807</v>
      </c>
      <c r="I433" s="542"/>
      <c r="J433" s="542"/>
      <c r="K433" s="542"/>
      <c r="L433" s="542"/>
      <c r="M433" s="542"/>
      <c r="N433" s="542"/>
      <c r="O433" s="542"/>
      <c r="P433" s="542"/>
      <c r="Q433" s="542"/>
      <c r="R433" s="542"/>
      <c r="S433" s="542"/>
      <c r="T433" s="542"/>
      <c r="U433" s="542"/>
      <c r="V433" s="542"/>
      <c r="W433" s="540"/>
    </row>
    <row r="434" spans="1:23" s="539" customFormat="1" ht="16.5" customHeight="1" x14ac:dyDescent="0.25">
      <c r="A434" s="726" t="s">
        <v>1386</v>
      </c>
      <c r="B434" s="727"/>
      <c r="C434" s="742" t="s">
        <v>1387</v>
      </c>
      <c r="D434" s="743"/>
      <c r="E434" s="743"/>
      <c r="F434" s="743"/>
      <c r="G434" s="744"/>
      <c r="H434" s="540" t="s">
        <v>807</v>
      </c>
      <c r="I434" s="542"/>
      <c r="J434" s="542"/>
      <c r="K434" s="542"/>
      <c r="L434" s="542"/>
      <c r="M434" s="542"/>
      <c r="N434" s="542"/>
      <c r="O434" s="542"/>
      <c r="P434" s="542"/>
      <c r="Q434" s="542"/>
      <c r="R434" s="542"/>
      <c r="S434" s="542"/>
      <c r="T434" s="542"/>
      <c r="U434" s="542"/>
      <c r="V434" s="542"/>
      <c r="W434" s="540"/>
    </row>
    <row r="435" spans="1:23" s="539" customFormat="1" x14ac:dyDescent="0.25">
      <c r="A435" s="726" t="s">
        <v>880</v>
      </c>
      <c r="B435" s="727"/>
      <c r="C435" s="731" t="s">
        <v>1050</v>
      </c>
      <c r="D435" s="732"/>
      <c r="E435" s="732"/>
      <c r="F435" s="732"/>
      <c r="G435" s="733"/>
      <c r="H435" s="540" t="s">
        <v>807</v>
      </c>
      <c r="I435" s="542"/>
      <c r="J435" s="542"/>
      <c r="K435" s="542"/>
      <c r="L435" s="542"/>
      <c r="M435" s="542"/>
      <c r="N435" s="542"/>
      <c r="O435" s="542"/>
      <c r="P435" s="542"/>
      <c r="Q435" s="542"/>
      <c r="R435" s="542"/>
      <c r="S435" s="542"/>
      <c r="T435" s="542"/>
      <c r="U435" s="542"/>
      <c r="V435" s="542"/>
      <c r="W435" s="540"/>
    </row>
    <row r="436" spans="1:23" s="539" customFormat="1" ht="16.5" customHeight="1" x14ac:dyDescent="0.25">
      <c r="A436" s="726" t="s">
        <v>1388</v>
      </c>
      <c r="B436" s="727"/>
      <c r="C436" s="742" t="s">
        <v>1389</v>
      </c>
      <c r="D436" s="743"/>
      <c r="E436" s="743"/>
      <c r="F436" s="743"/>
      <c r="G436" s="744"/>
      <c r="H436" s="540" t="s">
        <v>807</v>
      </c>
      <c r="I436" s="542"/>
      <c r="J436" s="542"/>
      <c r="K436" s="542"/>
      <c r="L436" s="542"/>
      <c r="M436" s="542"/>
      <c r="N436" s="542"/>
      <c r="O436" s="542"/>
      <c r="P436" s="542"/>
      <c r="Q436" s="542"/>
      <c r="R436" s="542"/>
      <c r="S436" s="542"/>
      <c r="T436" s="542"/>
      <c r="U436" s="542"/>
      <c r="V436" s="542"/>
      <c r="W436" s="540"/>
    </row>
    <row r="437" spans="1:23" s="539" customFormat="1" x14ac:dyDescent="0.25">
      <c r="A437" s="745" t="s">
        <v>839</v>
      </c>
      <c r="B437" s="746"/>
      <c r="C437" s="747" t="s">
        <v>1390</v>
      </c>
      <c r="D437" s="748"/>
      <c r="E437" s="748"/>
      <c r="F437" s="748"/>
      <c r="G437" s="749"/>
      <c r="H437" s="543" t="s">
        <v>807</v>
      </c>
      <c r="I437" s="544"/>
      <c r="J437" s="544"/>
      <c r="K437" s="544">
        <v>1.9970000000000001</v>
      </c>
      <c r="L437" s="544"/>
      <c r="M437" s="544"/>
      <c r="N437" s="544"/>
      <c r="O437" s="544"/>
      <c r="P437" s="544"/>
      <c r="Q437" s="544"/>
      <c r="R437" s="544"/>
      <c r="S437" s="544"/>
      <c r="T437" s="544"/>
      <c r="U437" s="544"/>
      <c r="V437" s="544"/>
      <c r="W437" s="543"/>
    </row>
    <row r="438" spans="1:23" s="539" customFormat="1" ht="9" customHeight="1" thickBot="1" x14ac:dyDescent="0.3">
      <c r="A438" s="721" t="s">
        <v>840</v>
      </c>
      <c r="B438" s="722"/>
      <c r="C438" s="734" t="s">
        <v>1391</v>
      </c>
      <c r="D438" s="735"/>
      <c r="E438" s="735"/>
      <c r="F438" s="735"/>
      <c r="G438" s="736"/>
      <c r="H438" s="559" t="s">
        <v>807</v>
      </c>
      <c r="I438" s="560"/>
      <c r="J438" s="560"/>
      <c r="K438" s="560"/>
      <c r="L438" s="560"/>
      <c r="M438" s="560"/>
      <c r="N438" s="560"/>
      <c r="O438" s="560"/>
      <c r="P438" s="560"/>
      <c r="Q438" s="560"/>
      <c r="R438" s="560"/>
      <c r="S438" s="560"/>
      <c r="T438" s="560"/>
      <c r="U438" s="560"/>
      <c r="V438" s="560"/>
      <c r="W438" s="559"/>
    </row>
    <row r="439" spans="1:23" s="539" customFormat="1" ht="9.75" customHeight="1" x14ac:dyDescent="0.25">
      <c r="A439" s="737" t="s">
        <v>898</v>
      </c>
      <c r="B439" s="738"/>
      <c r="C439" s="739" t="s">
        <v>891</v>
      </c>
      <c r="D439" s="740"/>
      <c r="E439" s="740"/>
      <c r="F439" s="740"/>
      <c r="G439" s="741"/>
      <c r="H439" s="561" t="s">
        <v>121</v>
      </c>
      <c r="I439" s="562"/>
      <c r="J439" s="562"/>
      <c r="K439" s="562"/>
      <c r="L439" s="562"/>
      <c r="M439" s="562"/>
      <c r="N439" s="562"/>
      <c r="O439" s="562"/>
      <c r="P439" s="562"/>
      <c r="Q439" s="562"/>
      <c r="R439" s="562"/>
      <c r="S439" s="562"/>
      <c r="T439" s="562"/>
      <c r="U439" s="562"/>
      <c r="V439" s="562"/>
      <c r="W439" s="561"/>
    </row>
    <row r="440" spans="1:23" s="539" customFormat="1" ht="24.75" customHeight="1" x14ac:dyDescent="0.25">
      <c r="A440" s="726" t="s">
        <v>900</v>
      </c>
      <c r="B440" s="727"/>
      <c r="C440" s="728" t="s">
        <v>1392</v>
      </c>
      <c r="D440" s="729"/>
      <c r="E440" s="729"/>
      <c r="F440" s="729"/>
      <c r="G440" s="730"/>
      <c r="H440" s="540" t="s">
        <v>807</v>
      </c>
      <c r="I440" s="542">
        <v>0.26</v>
      </c>
      <c r="J440" s="542">
        <v>29.282</v>
      </c>
      <c r="K440" s="542"/>
      <c r="L440" s="542"/>
      <c r="M440" s="542"/>
      <c r="N440" s="542"/>
      <c r="O440" s="542"/>
      <c r="P440" s="542"/>
      <c r="Q440" s="542"/>
      <c r="R440" s="542"/>
      <c r="S440" s="542"/>
      <c r="T440" s="542"/>
      <c r="U440" s="542"/>
      <c r="V440" s="542"/>
      <c r="W440" s="540"/>
    </row>
    <row r="441" spans="1:23" s="539" customFormat="1" x14ac:dyDescent="0.25">
      <c r="A441" s="726" t="s">
        <v>901</v>
      </c>
      <c r="B441" s="727"/>
      <c r="C441" s="731" t="s">
        <v>1393</v>
      </c>
      <c r="D441" s="732"/>
      <c r="E441" s="732"/>
      <c r="F441" s="732"/>
      <c r="G441" s="733"/>
      <c r="H441" s="540" t="s">
        <v>807</v>
      </c>
      <c r="I441" s="542"/>
      <c r="J441" s="542"/>
      <c r="K441" s="542"/>
      <c r="L441" s="542"/>
      <c r="M441" s="542"/>
      <c r="N441" s="542"/>
      <c r="O441" s="542"/>
      <c r="P441" s="542"/>
      <c r="Q441" s="542"/>
      <c r="R441" s="542"/>
      <c r="S441" s="542"/>
      <c r="T441" s="542"/>
      <c r="U441" s="542"/>
      <c r="V441" s="542"/>
      <c r="W441" s="540"/>
    </row>
    <row r="442" spans="1:23" s="539" customFormat="1" ht="16.5" customHeight="1" x14ac:dyDescent="0.25">
      <c r="A442" s="726" t="s">
        <v>902</v>
      </c>
      <c r="B442" s="727"/>
      <c r="C442" s="731" t="s">
        <v>1394</v>
      </c>
      <c r="D442" s="732"/>
      <c r="E442" s="732"/>
      <c r="F442" s="732"/>
      <c r="G442" s="733"/>
      <c r="H442" s="540" t="s">
        <v>807</v>
      </c>
      <c r="I442" s="542"/>
      <c r="J442" s="542"/>
      <c r="K442" s="542"/>
      <c r="L442" s="542"/>
      <c r="M442" s="542"/>
      <c r="N442" s="542"/>
      <c r="O442" s="542"/>
      <c r="P442" s="542"/>
      <c r="Q442" s="542"/>
      <c r="R442" s="542"/>
      <c r="S442" s="542"/>
      <c r="T442" s="542"/>
      <c r="U442" s="542"/>
      <c r="V442" s="542"/>
      <c r="W442" s="540"/>
    </row>
    <row r="443" spans="1:23" s="539" customFormat="1" x14ac:dyDescent="0.25">
      <c r="A443" s="726" t="s">
        <v>903</v>
      </c>
      <c r="B443" s="727"/>
      <c r="C443" s="731" t="s">
        <v>1395</v>
      </c>
      <c r="D443" s="732"/>
      <c r="E443" s="732"/>
      <c r="F443" s="732"/>
      <c r="G443" s="733"/>
      <c r="H443" s="540" t="s">
        <v>807</v>
      </c>
      <c r="I443" s="542"/>
      <c r="J443" s="542"/>
      <c r="K443" s="542"/>
      <c r="L443" s="542"/>
      <c r="M443" s="542"/>
      <c r="N443" s="542"/>
      <c r="O443" s="542"/>
      <c r="P443" s="542"/>
      <c r="Q443" s="542"/>
      <c r="R443" s="542"/>
      <c r="S443" s="542"/>
      <c r="T443" s="542"/>
      <c r="U443" s="542"/>
      <c r="V443" s="542"/>
      <c r="W443" s="540"/>
    </row>
    <row r="444" spans="1:23" s="539" customFormat="1" ht="17.25" customHeight="1" x14ac:dyDescent="0.25">
      <c r="A444" s="726" t="s">
        <v>904</v>
      </c>
      <c r="B444" s="727"/>
      <c r="C444" s="728" t="s">
        <v>1396</v>
      </c>
      <c r="D444" s="729"/>
      <c r="E444" s="729"/>
      <c r="F444" s="729"/>
      <c r="G444" s="730"/>
      <c r="H444" s="540" t="s">
        <v>121</v>
      </c>
      <c r="I444" s="542"/>
      <c r="J444" s="542"/>
      <c r="K444" s="542"/>
      <c r="L444" s="542"/>
      <c r="M444" s="542"/>
      <c r="N444" s="542"/>
      <c r="O444" s="542"/>
      <c r="P444" s="542"/>
      <c r="Q444" s="542"/>
      <c r="R444" s="542"/>
      <c r="S444" s="542"/>
      <c r="T444" s="542"/>
      <c r="U444" s="542"/>
      <c r="V444" s="542"/>
      <c r="W444" s="540"/>
    </row>
    <row r="445" spans="1:23" s="539" customFormat="1" x14ac:dyDescent="0.25">
      <c r="A445" s="726" t="s">
        <v>1397</v>
      </c>
      <c r="B445" s="727"/>
      <c r="C445" s="731" t="s">
        <v>1398</v>
      </c>
      <c r="D445" s="732"/>
      <c r="E445" s="732"/>
      <c r="F445" s="732"/>
      <c r="G445" s="733"/>
      <c r="H445" s="540" t="s">
        <v>807</v>
      </c>
      <c r="I445" s="542"/>
      <c r="J445" s="542"/>
      <c r="K445" s="542"/>
      <c r="L445" s="542"/>
      <c r="M445" s="542"/>
      <c r="N445" s="542"/>
      <c r="O445" s="542"/>
      <c r="P445" s="542"/>
      <c r="Q445" s="542"/>
      <c r="R445" s="542"/>
      <c r="S445" s="542"/>
      <c r="T445" s="542"/>
      <c r="U445" s="542"/>
      <c r="V445" s="542"/>
      <c r="W445" s="540"/>
    </row>
    <row r="446" spans="1:23" s="539" customFormat="1" x14ac:dyDescent="0.25">
      <c r="A446" s="726" t="s">
        <v>1399</v>
      </c>
      <c r="B446" s="727"/>
      <c r="C446" s="731" t="s">
        <v>1400</v>
      </c>
      <c r="D446" s="732"/>
      <c r="E446" s="732"/>
      <c r="F446" s="732"/>
      <c r="G446" s="733"/>
      <c r="H446" s="540" t="s">
        <v>807</v>
      </c>
      <c r="I446" s="542"/>
      <c r="J446" s="542"/>
      <c r="K446" s="542"/>
      <c r="L446" s="542"/>
      <c r="M446" s="542"/>
      <c r="N446" s="542"/>
      <c r="O446" s="542"/>
      <c r="P446" s="542"/>
      <c r="Q446" s="542"/>
      <c r="R446" s="542"/>
      <c r="S446" s="542"/>
      <c r="T446" s="542"/>
      <c r="U446" s="542"/>
      <c r="V446" s="542"/>
      <c r="W446" s="540"/>
    </row>
    <row r="447" spans="1:23" s="539" customFormat="1" ht="9" customHeight="1" thickBot="1" x14ac:dyDescent="0.3">
      <c r="A447" s="721" t="s">
        <v>1401</v>
      </c>
      <c r="B447" s="722"/>
      <c r="C447" s="723" t="s">
        <v>1402</v>
      </c>
      <c r="D447" s="724"/>
      <c r="E447" s="724"/>
      <c r="F447" s="724"/>
      <c r="G447" s="725"/>
      <c r="H447" s="582" t="s">
        <v>807</v>
      </c>
      <c r="I447" s="560"/>
      <c r="J447" s="560"/>
      <c r="K447" s="560"/>
      <c r="L447" s="560"/>
      <c r="M447" s="560"/>
      <c r="N447" s="560"/>
      <c r="O447" s="560"/>
      <c r="P447" s="560"/>
      <c r="Q447" s="560"/>
      <c r="R447" s="560"/>
      <c r="S447" s="560"/>
      <c r="T447" s="560"/>
      <c r="U447" s="560"/>
      <c r="V447" s="560"/>
      <c r="W447" s="559"/>
    </row>
    <row r="448" spans="1:23" s="584" customFormat="1" ht="12" customHeight="1" x14ac:dyDescent="0.15">
      <c r="A448" s="583"/>
      <c r="B448" s="583"/>
      <c r="C448" s="583"/>
    </row>
    <row r="449" spans="1:1" s="586" customFormat="1" ht="9.75" x14ac:dyDescent="0.2">
      <c r="A449" s="585" t="s">
        <v>1403</v>
      </c>
    </row>
    <row r="450" spans="1:1" s="586" customFormat="1" ht="9" customHeight="1" x14ac:dyDescent="0.15">
      <c r="A450" s="585" t="s">
        <v>1404</v>
      </c>
    </row>
    <row r="451" spans="1:1" s="586" customFormat="1" ht="9" customHeight="1" x14ac:dyDescent="0.15">
      <c r="A451" s="585" t="s">
        <v>1405</v>
      </c>
    </row>
    <row r="452" spans="1:1" s="586" customFormat="1" ht="9" customHeight="1" x14ac:dyDescent="0.15">
      <c r="A452" s="585" t="s">
        <v>1406</v>
      </c>
    </row>
    <row r="453" spans="1:1" s="586" customFormat="1" ht="9" customHeight="1" x14ac:dyDescent="0.15">
      <c r="A453" s="585" t="s">
        <v>1407</v>
      </c>
    </row>
    <row r="454" spans="1:1" s="586" customFormat="1" ht="9" customHeight="1" x14ac:dyDescent="0.15">
      <c r="A454" s="585" t="s">
        <v>1408</v>
      </c>
    </row>
    <row r="455" spans="1:1" s="586" customFormat="1" x14ac:dyDescent="0.15">
      <c r="A455" s="585" t="s">
        <v>1409</v>
      </c>
    </row>
    <row r="456" spans="1:1" s="586" customFormat="1" x14ac:dyDescent="0.15">
      <c r="A456" s="585" t="s">
        <v>1410</v>
      </c>
    </row>
    <row r="457" spans="1:1" s="586" customFormat="1" x14ac:dyDescent="0.15">
      <c r="A457" s="585" t="s">
        <v>1411</v>
      </c>
    </row>
  </sheetData>
  <mergeCells count="875">
    <mergeCell ref="D7:F7"/>
    <mergeCell ref="D8:F8"/>
    <mergeCell ref="E9:F9"/>
    <mergeCell ref="B13:I13"/>
    <mergeCell ref="B14:F14"/>
    <mergeCell ref="A15:W15"/>
    <mergeCell ref="A21:B21"/>
    <mergeCell ref="C21:G21"/>
    <mergeCell ref="A22:B22"/>
    <mergeCell ref="C22:G22"/>
    <mergeCell ref="A23:B23"/>
    <mergeCell ref="C23:G23"/>
    <mergeCell ref="V16:W16"/>
    <mergeCell ref="A18:B18"/>
    <mergeCell ref="C18:G18"/>
    <mergeCell ref="A19:W19"/>
    <mergeCell ref="A20:B20"/>
    <mergeCell ref="C20:G20"/>
    <mergeCell ref="A16:B17"/>
    <mergeCell ref="C16:G17"/>
    <mergeCell ref="H16:H17"/>
    <mergeCell ref="L16:M16"/>
    <mergeCell ref="N16:O16"/>
    <mergeCell ref="R16:S16"/>
    <mergeCell ref="T16:U16"/>
    <mergeCell ref="P16:Q16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W163"/>
    <mergeCell ref="A164:B164"/>
    <mergeCell ref="C164:G164"/>
    <mergeCell ref="A165:B165"/>
    <mergeCell ref="C165:G165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W315"/>
    <mergeCell ref="A316:B316"/>
    <mergeCell ref="C316:G316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65:W365"/>
    <mergeCell ref="A366:B367"/>
    <mergeCell ref="C366:G367"/>
    <mergeCell ref="H366:H367"/>
    <mergeCell ref="L366:M366"/>
    <mergeCell ref="N366:O366"/>
    <mergeCell ref="R366:S366"/>
    <mergeCell ref="V366:W366"/>
    <mergeCell ref="A362:B362"/>
    <mergeCell ref="C362:G362"/>
    <mergeCell ref="A363:B363"/>
    <mergeCell ref="C363:G363"/>
    <mergeCell ref="A364:B364"/>
    <mergeCell ref="C364:G364"/>
    <mergeCell ref="T366:U366"/>
    <mergeCell ref="P366:Q366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</mergeCells>
  <pageMargins left="0.39370078740157483" right="0.31496062992125984" top="0.39370078740157483" bottom="0.31496062992125984" header="0.19685039370078741" footer="0.19685039370078741"/>
  <pageSetup paperSize="9" scale="78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42"/>
  <sheetViews>
    <sheetView workbookViewId="0">
      <selection activeCell="D16" sqref="D16"/>
    </sheetView>
  </sheetViews>
  <sheetFormatPr defaultColWidth="8.85546875" defaultRowHeight="15" x14ac:dyDescent="0.25"/>
  <sheetData>
    <row r="4" spans="4:4" x14ac:dyDescent="0.25">
      <c r="D4" t="s">
        <v>548</v>
      </c>
    </row>
    <row r="5" spans="4:4" x14ac:dyDescent="0.25">
      <c r="D5" t="s">
        <v>504</v>
      </c>
    </row>
    <row r="6" spans="4:4" x14ac:dyDescent="0.25">
      <c r="D6" t="s">
        <v>463</v>
      </c>
    </row>
    <row r="7" spans="4:4" x14ac:dyDescent="0.25">
      <c r="D7" t="s">
        <v>549</v>
      </c>
    </row>
    <row r="8" spans="4:4" x14ac:dyDescent="0.25">
      <c r="D8" t="s">
        <v>550</v>
      </c>
    </row>
    <row r="9" spans="4:4" x14ac:dyDescent="0.25">
      <c r="D9" t="s">
        <v>551</v>
      </c>
    </row>
    <row r="10" spans="4:4" x14ac:dyDescent="0.25">
      <c r="D10" t="s">
        <v>552</v>
      </c>
    </row>
    <row r="16" spans="4:4" x14ac:dyDescent="0.25">
      <c r="D16" t="s">
        <v>553</v>
      </c>
    </row>
    <row r="18" spans="4:4" x14ac:dyDescent="0.25">
      <c r="D18" t="s">
        <v>554</v>
      </c>
    </row>
    <row r="19" spans="4:4" x14ac:dyDescent="0.25">
      <c r="D19" t="s">
        <v>555</v>
      </c>
    </row>
    <row r="20" spans="4:4" x14ac:dyDescent="0.25">
      <c r="D20" t="s">
        <v>556</v>
      </c>
    </row>
    <row r="21" spans="4:4" x14ac:dyDescent="0.25">
      <c r="D21" t="s">
        <v>523</v>
      </c>
    </row>
    <row r="22" spans="4:4" x14ac:dyDescent="0.25">
      <c r="D22" t="s">
        <v>513</v>
      </c>
    </row>
    <row r="23" spans="4:4" x14ac:dyDescent="0.25">
      <c r="D23" t="s">
        <v>557</v>
      </c>
    </row>
    <row r="24" spans="4:4" x14ac:dyDescent="0.25">
      <c r="D24" t="s">
        <v>558</v>
      </c>
    </row>
    <row r="25" spans="4:4" x14ac:dyDescent="0.25">
      <c r="D25" t="s">
        <v>559</v>
      </c>
    </row>
    <row r="26" spans="4:4" x14ac:dyDescent="0.25">
      <c r="D26" t="s">
        <v>560</v>
      </c>
    </row>
    <row r="28" spans="4:4" x14ac:dyDescent="0.25">
      <c r="D28" t="s">
        <v>561</v>
      </c>
    </row>
    <row r="29" spans="4:4" x14ac:dyDescent="0.25">
      <c r="D29" t="s">
        <v>517</v>
      </c>
    </row>
    <row r="30" spans="4:4" x14ac:dyDescent="0.25">
      <c r="D30" t="s">
        <v>562</v>
      </c>
    </row>
    <row r="31" spans="4:4" x14ac:dyDescent="0.25">
      <c r="D31" t="s">
        <v>520</v>
      </c>
    </row>
    <row r="32" spans="4:4" x14ac:dyDescent="0.25">
      <c r="D32" t="s">
        <v>563</v>
      </c>
    </row>
    <row r="33" spans="4:4" x14ac:dyDescent="0.25">
      <c r="D33" t="s">
        <v>564</v>
      </c>
    </row>
    <row r="35" spans="4:4" x14ac:dyDescent="0.25">
      <c r="D35" t="s">
        <v>565</v>
      </c>
    </row>
    <row r="36" spans="4:4" x14ac:dyDescent="0.25">
      <c r="D36" t="s">
        <v>566</v>
      </c>
    </row>
    <row r="37" spans="4:4" x14ac:dyDescent="0.25">
      <c r="D37" t="s">
        <v>567</v>
      </c>
    </row>
    <row r="38" spans="4:4" x14ac:dyDescent="0.25">
      <c r="D38" t="s">
        <v>568</v>
      </c>
    </row>
    <row r="40" spans="4:4" x14ac:dyDescent="0.25">
      <c r="D40" t="s">
        <v>569</v>
      </c>
    </row>
    <row r="41" spans="4:4" x14ac:dyDescent="0.25">
      <c r="D41" t="s">
        <v>570</v>
      </c>
    </row>
    <row r="42" spans="4:4" x14ac:dyDescent="0.25">
      <c r="D42" t="s">
        <v>571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J15"/>
  <sheetViews>
    <sheetView workbookViewId="0">
      <selection activeCell="V32" sqref="V32"/>
    </sheetView>
  </sheetViews>
  <sheetFormatPr defaultRowHeight="15" x14ac:dyDescent="0.25"/>
  <sheetData>
    <row r="4" spans="9:10" x14ac:dyDescent="0.25">
      <c r="I4">
        <v>2010</v>
      </c>
      <c r="J4" t="s">
        <v>710</v>
      </c>
    </row>
    <row r="5" spans="9:10" x14ac:dyDescent="0.25">
      <c r="I5">
        <v>2011</v>
      </c>
      <c r="J5" t="s">
        <v>711</v>
      </c>
    </row>
    <row r="6" spans="9:10" x14ac:dyDescent="0.25">
      <c r="I6">
        <v>2012</v>
      </c>
      <c r="J6" t="s">
        <v>712</v>
      </c>
    </row>
    <row r="7" spans="9:10" x14ac:dyDescent="0.25">
      <c r="I7">
        <v>2013</v>
      </c>
      <c r="J7" t="s">
        <v>713</v>
      </c>
    </row>
    <row r="8" spans="9:10" x14ac:dyDescent="0.25">
      <c r="I8">
        <v>2014</v>
      </c>
      <c r="J8" t="s">
        <v>714</v>
      </c>
    </row>
    <row r="9" spans="9:10" x14ac:dyDescent="0.25">
      <c r="I9">
        <v>2015</v>
      </c>
      <c r="J9" t="s">
        <v>715</v>
      </c>
    </row>
    <row r="10" spans="9:10" x14ac:dyDescent="0.25">
      <c r="I10">
        <v>2016</v>
      </c>
      <c r="J10" t="s">
        <v>716</v>
      </c>
    </row>
    <row r="11" spans="9:10" x14ac:dyDescent="0.25">
      <c r="I11">
        <v>2017</v>
      </c>
      <c r="J11" t="s">
        <v>717</v>
      </c>
    </row>
    <row r="12" spans="9:10" x14ac:dyDescent="0.25">
      <c r="I12">
        <v>2018</v>
      </c>
      <c r="J12" t="s">
        <v>524</v>
      </c>
    </row>
    <row r="13" spans="9:10" x14ac:dyDescent="0.25">
      <c r="I13">
        <v>2019</v>
      </c>
      <c r="J13" t="s">
        <v>718</v>
      </c>
    </row>
    <row r="14" spans="9:10" x14ac:dyDescent="0.25">
      <c r="I14">
        <v>2020</v>
      </c>
      <c r="J14" t="s">
        <v>719</v>
      </c>
    </row>
    <row r="15" spans="9:10" x14ac:dyDescent="0.25">
      <c r="I15">
        <v>2021</v>
      </c>
      <c r="J15" t="s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3"/>
  <sheetViews>
    <sheetView topLeftCell="A16" zoomScale="62" zoomScaleNormal="62" workbookViewId="0">
      <selection activeCell="Z15" sqref="Z15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19" ht="18.75" x14ac:dyDescent="0.3">
      <c r="A2" s="605" t="s">
        <v>745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603" t="s">
        <v>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</row>
    <row r="5" spans="1:19" x14ac:dyDescent="0.25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603" t="s">
        <v>227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</row>
    <row r="8" spans="1:19" ht="18.75" x14ac:dyDescent="0.25">
      <c r="A8" s="412"/>
      <c r="B8" s="413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3"/>
      <c r="Q8" s="413"/>
      <c r="R8" s="413"/>
      <c r="S8" s="413"/>
    </row>
    <row r="9" spans="1:19" ht="15.75" customHeight="1" x14ac:dyDescent="0.3">
      <c r="A9" s="600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</row>
    <row r="10" spans="1:19" ht="15.75" customHeight="1" x14ac:dyDescent="0.25">
      <c r="A10" s="601" t="s">
        <v>226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</row>
    <row r="11" spans="1:19" ht="15.75" customHeight="1" x14ac:dyDescent="0.3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</row>
    <row r="12" spans="1:19" ht="31.5" customHeight="1" x14ac:dyDescent="0.25">
      <c r="A12" s="602" t="s">
        <v>4</v>
      </c>
      <c r="B12" s="602" t="s">
        <v>5</v>
      </c>
      <c r="C12" s="602" t="s">
        <v>6</v>
      </c>
      <c r="D12" s="602" t="s">
        <v>7</v>
      </c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</row>
    <row r="13" spans="1:19" ht="87" customHeight="1" x14ac:dyDescent="0.25">
      <c r="A13" s="602"/>
      <c r="B13" s="602"/>
      <c r="C13" s="602"/>
      <c r="D13" s="602" t="s">
        <v>8</v>
      </c>
      <c r="E13" s="602"/>
      <c r="F13" s="602"/>
      <c r="G13" s="602"/>
      <c r="H13" s="602"/>
      <c r="I13" s="602"/>
      <c r="J13" s="602" t="s">
        <v>9</v>
      </c>
      <c r="K13" s="602"/>
      <c r="L13" s="602"/>
      <c r="M13" s="602"/>
      <c r="N13" s="602"/>
      <c r="O13" s="602"/>
      <c r="P13" s="602" t="s">
        <v>10</v>
      </c>
      <c r="Q13" s="602"/>
      <c r="R13" s="602"/>
      <c r="S13" s="602"/>
    </row>
    <row r="14" spans="1:19" ht="179.25" customHeight="1" x14ac:dyDescent="0.25">
      <c r="A14" s="602"/>
      <c r="B14" s="602"/>
      <c r="C14" s="602"/>
      <c r="D14" s="602" t="s">
        <v>11</v>
      </c>
      <c r="E14" s="602"/>
      <c r="F14" s="602" t="s">
        <v>12</v>
      </c>
      <c r="G14" s="602"/>
      <c r="H14" s="602" t="s">
        <v>13</v>
      </c>
      <c r="I14" s="602"/>
      <c r="J14" s="602" t="s">
        <v>14</v>
      </c>
      <c r="K14" s="602"/>
      <c r="L14" s="602" t="s">
        <v>15</v>
      </c>
      <c r="M14" s="602"/>
      <c r="N14" s="602" t="s">
        <v>16</v>
      </c>
      <c r="O14" s="602"/>
      <c r="P14" s="602" t="s">
        <v>17</v>
      </c>
      <c r="Q14" s="602"/>
      <c r="R14" s="602" t="s">
        <v>18</v>
      </c>
      <c r="S14" s="602"/>
    </row>
    <row r="15" spans="1:19" ht="126.75" x14ac:dyDescent="0.25">
      <c r="A15" s="602"/>
      <c r="B15" s="602"/>
      <c r="C15" s="602"/>
      <c r="D15" s="5" t="s">
        <v>526</v>
      </c>
      <c r="E15" s="5" t="s">
        <v>136</v>
      </c>
      <c r="F15" s="5" t="s">
        <v>526</v>
      </c>
      <c r="G15" s="5" t="s">
        <v>136</v>
      </c>
      <c r="H15" s="5" t="s">
        <v>526</v>
      </c>
      <c r="I15" s="5" t="s">
        <v>136</v>
      </c>
      <c r="J15" s="5" t="s">
        <v>526</v>
      </c>
      <c r="K15" s="5" t="s">
        <v>136</v>
      </c>
      <c r="L15" s="5" t="s">
        <v>526</v>
      </c>
      <c r="M15" s="5" t="s">
        <v>136</v>
      </c>
      <c r="N15" s="5" t="s">
        <v>526</v>
      </c>
      <c r="O15" s="5" t="s">
        <v>136</v>
      </c>
      <c r="P15" s="5" t="s">
        <v>526</v>
      </c>
      <c r="Q15" s="5" t="s">
        <v>136</v>
      </c>
      <c r="R15" s="5" t="s">
        <v>526</v>
      </c>
      <c r="S15" s="5" t="s">
        <v>136</v>
      </c>
    </row>
    <row r="16" spans="1:19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8" t="s">
        <v>29</v>
      </c>
      <c r="Q16" s="8" t="s">
        <v>30</v>
      </c>
      <c r="R16" s="8" t="s">
        <v>31</v>
      </c>
      <c r="S16" s="8" t="s">
        <v>32</v>
      </c>
    </row>
    <row r="17" spans="1:19" s="28" customFormat="1" x14ac:dyDescent="0.25">
      <c r="A17" s="20" t="s">
        <v>33</v>
      </c>
      <c r="B17" s="21" t="s">
        <v>34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81">
        <f t="shared" si="0"/>
        <v>0</v>
      </c>
      <c r="L17" s="36">
        <f t="shared" si="0"/>
        <v>0</v>
      </c>
      <c r="M17" s="381">
        <f t="shared" si="0"/>
        <v>0</v>
      </c>
      <c r="N17" s="36">
        <f t="shared" si="0"/>
        <v>1.5669999999999999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81</v>
      </c>
      <c r="B18" s="19" t="s">
        <v>36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82">
        <f t="shared" si="1"/>
        <v>0</v>
      </c>
      <c r="L18" s="37">
        <f t="shared" si="1"/>
        <v>0</v>
      </c>
      <c r="M18" s="382">
        <f t="shared" si="1"/>
        <v>0</v>
      </c>
      <c r="N18" s="37">
        <f t="shared" si="1"/>
        <v>1.5669999999999999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37</v>
      </c>
      <c r="B19" s="21" t="s">
        <v>38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81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82</v>
      </c>
      <c r="B20" s="30" t="s">
        <v>83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3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84</v>
      </c>
      <c r="B21" s="19" t="s">
        <v>85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2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86</v>
      </c>
      <c r="B22" s="19" t="s">
        <v>87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2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88</v>
      </c>
      <c r="B23" s="19" t="s">
        <v>89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2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90</v>
      </c>
      <c r="B24" s="30" t="s">
        <v>91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3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92</v>
      </c>
      <c r="B25" s="19" t="s">
        <v>93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2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94</v>
      </c>
      <c r="B26" s="19" t="s">
        <v>95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2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96</v>
      </c>
      <c r="B27" s="30" t="s">
        <v>97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3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98</v>
      </c>
      <c r="B28" s="19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2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103</v>
      </c>
      <c r="B29" s="19" t="s">
        <v>100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2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105</v>
      </c>
      <c r="B30" s="19" t="s">
        <v>101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2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106</v>
      </c>
      <c r="B31" s="19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2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107</v>
      </c>
      <c r="B32" s="19" t="s">
        <v>99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2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108</v>
      </c>
      <c r="B33" s="19" t="s">
        <v>100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2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109</v>
      </c>
      <c r="B34" s="19" t="s">
        <v>101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2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110</v>
      </c>
      <c r="B35" s="19" t="s">
        <v>104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2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39</v>
      </c>
      <c r="B36" s="34" t="s">
        <v>40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80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49" customFormat="1" x14ac:dyDescent="0.25">
      <c r="A37" s="14"/>
      <c r="B37" s="16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84"/>
      <c r="N37" s="348"/>
      <c r="O37" s="348"/>
      <c r="P37" s="348"/>
      <c r="Q37" s="348"/>
      <c r="R37" s="348"/>
      <c r="S37" s="348"/>
    </row>
    <row r="38" spans="1:19" s="31" customFormat="1" ht="47.25" hidden="1" x14ac:dyDescent="0.25">
      <c r="A38" s="29" t="s">
        <v>111</v>
      </c>
      <c r="B38" s="30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3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42</v>
      </c>
      <c r="B39" s="21" t="s">
        <v>43</v>
      </c>
      <c r="C39" s="36">
        <v>0</v>
      </c>
      <c r="D39" s="36">
        <f t="shared" ref="D39:S39" si="4">D40+D45+D50</f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81">
        <f t="shared" si="4"/>
        <v>0</v>
      </c>
      <c r="L39" s="36">
        <f t="shared" si="4"/>
        <v>0</v>
      </c>
      <c r="M39" s="381">
        <f t="shared" si="4"/>
        <v>0</v>
      </c>
      <c r="N39" s="36">
        <f t="shared" si="4"/>
        <v>1.5669999999999999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79</v>
      </c>
      <c r="B40" s="34" t="s">
        <v>80</v>
      </c>
      <c r="C40" s="39">
        <f>C41</f>
        <v>0</v>
      </c>
      <c r="D40" s="39">
        <f t="shared" ref="D40:S41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80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44</v>
      </c>
      <c r="B41" s="16" t="s">
        <v>45</v>
      </c>
      <c r="C41" s="40">
        <f>C42</f>
        <v>0</v>
      </c>
      <c r="D41" s="40">
        <f>D42+D43</f>
        <v>0</v>
      </c>
      <c r="E41" s="40">
        <f t="shared" ref="E41:H41" si="6">E42+E43</f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5"/>
        <v>0</v>
      </c>
      <c r="J41" s="40">
        <f t="shared" si="5"/>
        <v>0</v>
      </c>
      <c r="K41" s="40">
        <f t="shared" si="5"/>
        <v>0</v>
      </c>
      <c r="L41" s="40">
        <f t="shared" si="5"/>
        <v>0</v>
      </c>
      <c r="M41" s="385">
        <f t="shared" si="5"/>
        <v>0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</row>
    <row r="42" spans="1:19" s="345" customFormat="1" x14ac:dyDescent="0.25">
      <c r="A42" s="14" t="s">
        <v>46</v>
      </c>
      <c r="B42" s="347"/>
      <c r="C42" s="343"/>
      <c r="D42" s="343"/>
      <c r="E42" s="343"/>
      <c r="F42" s="343"/>
      <c r="G42" s="343"/>
      <c r="H42" s="343">
        <v>0</v>
      </c>
      <c r="I42" s="343">
        <v>0</v>
      </c>
      <c r="J42" s="343">
        <v>0</v>
      </c>
      <c r="K42" s="343">
        <v>0</v>
      </c>
      <c r="L42" s="343">
        <v>0</v>
      </c>
      <c r="M42" s="386">
        <v>0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43">
        <v>0</v>
      </c>
    </row>
    <row r="43" spans="1:19" s="345" customFormat="1" x14ac:dyDescent="0.25">
      <c r="A43" s="14" t="s">
        <v>527</v>
      </c>
      <c r="B43" s="347"/>
      <c r="C43" s="343"/>
      <c r="D43" s="343"/>
      <c r="E43" s="343"/>
      <c r="F43" s="343"/>
      <c r="G43" s="343"/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86">
        <v>0</v>
      </c>
      <c r="N43" s="343">
        <v>0</v>
      </c>
      <c r="O43" s="343">
        <v>0</v>
      </c>
      <c r="P43" s="343">
        <v>0</v>
      </c>
      <c r="Q43" s="343">
        <v>0</v>
      </c>
      <c r="R43" s="343">
        <v>0</v>
      </c>
      <c r="S43" s="343">
        <v>0</v>
      </c>
    </row>
    <row r="44" spans="1:19" ht="31.5" x14ac:dyDescent="0.25">
      <c r="A44" s="14" t="s">
        <v>112</v>
      </c>
      <c r="B44" s="16" t="s">
        <v>113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85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47</v>
      </c>
      <c r="B45" s="34" t="s">
        <v>48</v>
      </c>
      <c r="C45" s="39" t="str">
        <f>C46</f>
        <v>L_015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87">
        <f t="shared" si="7"/>
        <v>0</v>
      </c>
      <c r="L45" s="39">
        <f t="shared" si="7"/>
        <v>0</v>
      </c>
      <c r="M45" s="380">
        <f t="shared" si="7"/>
        <v>0</v>
      </c>
      <c r="N45" s="39">
        <f t="shared" si="7"/>
        <v>1.5669999999999999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74</v>
      </c>
      <c r="B46" s="16" t="s">
        <v>75</v>
      </c>
      <c r="C46" s="40" t="str">
        <f t="shared" ref="C46:S46" si="8">C48</f>
        <v>L_015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378">
        <f>K47+K48</f>
        <v>0</v>
      </c>
      <c r="L46" s="377">
        <f t="shared" ref="L46:O46" si="9">L47+L48</f>
        <v>0</v>
      </c>
      <c r="M46" s="385">
        <f t="shared" si="9"/>
        <v>0</v>
      </c>
      <c r="N46" s="379">
        <f t="shared" si="9"/>
        <v>1.5669999999999999</v>
      </c>
      <c r="O46" s="379">
        <f t="shared" si="9"/>
        <v>0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45" customFormat="1" x14ac:dyDescent="0.25">
      <c r="A47" s="388" t="s">
        <v>659</v>
      </c>
      <c r="B47" s="417" t="s">
        <v>739</v>
      </c>
      <c r="C47" s="390" t="s">
        <v>725</v>
      </c>
      <c r="D47" s="438"/>
      <c r="E47" s="440"/>
      <c r="F47" s="438"/>
      <c r="G47" s="438"/>
      <c r="H47" s="438"/>
      <c r="I47" s="438"/>
      <c r="J47" s="438"/>
      <c r="K47" s="441"/>
      <c r="L47" s="438"/>
      <c r="M47" s="442"/>
      <c r="N47" s="438">
        <v>0.74199999999999999</v>
      </c>
      <c r="O47" s="438"/>
      <c r="P47" s="438"/>
      <c r="Q47" s="438"/>
      <c r="R47" s="438"/>
      <c r="S47" s="438"/>
    </row>
    <row r="48" spans="1:19" s="345" customFormat="1" x14ac:dyDescent="0.25">
      <c r="A48" s="388" t="s">
        <v>661</v>
      </c>
      <c r="B48" s="417" t="s">
        <v>740</v>
      </c>
      <c r="C48" s="390" t="s">
        <v>726</v>
      </c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>
        <v>0.82499999999999996</v>
      </c>
      <c r="O48" s="438"/>
      <c r="P48" s="438"/>
      <c r="Q48" s="438"/>
      <c r="R48" s="438"/>
      <c r="S48" s="438"/>
    </row>
    <row r="49" spans="1:19" ht="31.5" hidden="1" x14ac:dyDescent="0.25">
      <c r="A49" s="14" t="s">
        <v>114</v>
      </c>
      <c r="B49" s="16" t="s">
        <v>115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116</v>
      </c>
      <c r="B50" s="34" t="s">
        <v>117</v>
      </c>
      <c r="C50" s="39">
        <f>C56+C58</f>
        <v>0</v>
      </c>
      <c r="D50" s="39">
        <f t="shared" ref="D50:S50" si="10">D56+D58</f>
        <v>0</v>
      </c>
      <c r="E50" s="39">
        <f t="shared" si="10"/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0</v>
      </c>
      <c r="K50" s="39">
        <f t="shared" si="10"/>
        <v>0</v>
      </c>
      <c r="L50" s="39">
        <f t="shared" si="10"/>
        <v>0</v>
      </c>
      <c r="M50" s="39">
        <f t="shared" si="10"/>
        <v>0</v>
      </c>
      <c r="N50" s="39">
        <f t="shared" si="10"/>
        <v>0</v>
      </c>
      <c r="O50" s="39">
        <f t="shared" si="10"/>
        <v>0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 t="shared" si="10"/>
        <v>0</v>
      </c>
    </row>
    <row r="51" spans="1:19" ht="31.5" outlineLevel="1" x14ac:dyDescent="0.25">
      <c r="A51" s="14" t="s">
        <v>118</v>
      </c>
      <c r="B51" s="16" t="s">
        <v>119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outlineLevel="1" x14ac:dyDescent="0.25">
      <c r="A52" s="388" t="s">
        <v>703</v>
      </c>
      <c r="B52" s="421" t="s">
        <v>706</v>
      </c>
      <c r="C52" s="390" t="s">
        <v>730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</row>
    <row r="53" spans="1:19" ht="31.5" outlineLevel="1" x14ac:dyDescent="0.25">
      <c r="A53" s="14" t="s">
        <v>120</v>
      </c>
      <c r="B53" s="16" t="s">
        <v>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outlineLevel="1" x14ac:dyDescent="0.25">
      <c r="A54" s="14" t="s">
        <v>50</v>
      </c>
      <c r="B54" s="16" t="s">
        <v>51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outlineLevel="1" x14ac:dyDescent="0.25">
      <c r="A55" s="14" t="s">
        <v>52</v>
      </c>
      <c r="B55" s="16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31.5" x14ac:dyDescent="0.25">
      <c r="A56" s="14" t="s">
        <v>54</v>
      </c>
      <c r="B56" s="16" t="s">
        <v>55</v>
      </c>
      <c r="C56" s="40">
        <f>C57</f>
        <v>0</v>
      </c>
      <c r="D56" s="40">
        <f t="shared" ref="D56:S56" si="11">D57</f>
        <v>0</v>
      </c>
      <c r="E56" s="40">
        <f t="shared" si="11"/>
        <v>0</v>
      </c>
      <c r="F56" s="40">
        <f t="shared" si="11"/>
        <v>0</v>
      </c>
      <c r="G56" s="40">
        <f t="shared" si="11"/>
        <v>0</v>
      </c>
      <c r="H56" s="40">
        <f t="shared" si="11"/>
        <v>0</v>
      </c>
      <c r="I56" s="40">
        <f t="shared" si="11"/>
        <v>0</v>
      </c>
      <c r="J56" s="40">
        <f t="shared" si="11"/>
        <v>0</v>
      </c>
      <c r="K56" s="40">
        <f t="shared" si="11"/>
        <v>0</v>
      </c>
      <c r="L56" s="40">
        <f t="shared" si="11"/>
        <v>0</v>
      </c>
      <c r="M56" s="40">
        <f t="shared" si="11"/>
        <v>0</v>
      </c>
      <c r="N56" s="40">
        <f t="shared" si="11"/>
        <v>0</v>
      </c>
      <c r="O56" s="40">
        <f t="shared" si="11"/>
        <v>0</v>
      </c>
      <c r="P56" s="40">
        <f t="shared" si="11"/>
        <v>0</v>
      </c>
      <c r="Q56" s="40">
        <f t="shared" si="11"/>
        <v>0</v>
      </c>
      <c r="R56" s="40">
        <f t="shared" si="11"/>
        <v>0</v>
      </c>
      <c r="S56" s="40">
        <f t="shared" si="11"/>
        <v>0</v>
      </c>
    </row>
    <row r="57" spans="1:19" s="345" customFormat="1" x14ac:dyDescent="0.25">
      <c r="A57" s="14"/>
      <c r="B57" s="16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</row>
    <row r="58" spans="1:19" ht="31.5" hidden="1" outlineLevel="1" x14ac:dyDescent="0.25">
      <c r="A58" s="14" t="s">
        <v>56</v>
      </c>
      <c r="B58" s="16" t="s">
        <v>57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31.5" hidden="1" outlineLevel="1" x14ac:dyDescent="0.25">
      <c r="A59" s="14" t="s">
        <v>58</v>
      </c>
      <c r="B59" s="16" t="s">
        <v>59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31.5" hidden="1" outlineLevel="1" x14ac:dyDescent="0.25">
      <c r="A60" s="14" t="s">
        <v>60</v>
      </c>
      <c r="B60" s="16" t="s">
        <v>61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25" customFormat="1" ht="31.5" hidden="1" outlineLevel="1" x14ac:dyDescent="0.25">
      <c r="A61" s="22" t="s">
        <v>62</v>
      </c>
      <c r="B61" s="23" t="s">
        <v>63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idden="1" outlineLevel="1" x14ac:dyDescent="0.25">
      <c r="A62" s="14" t="s">
        <v>64</v>
      </c>
      <c r="B62" s="16" t="s">
        <v>65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31.5" hidden="1" outlineLevel="1" x14ac:dyDescent="0.25">
      <c r="A63" s="14" t="s">
        <v>66</v>
      </c>
      <c r="B63" s="16" t="s">
        <v>67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s="28" customFormat="1" ht="47.25" hidden="1" outlineLevel="1" collapsed="1" x14ac:dyDescent="0.25">
      <c r="A64" s="20" t="s">
        <v>68</v>
      </c>
      <c r="B64" s="32" t="s">
        <v>69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25" customFormat="1" ht="31.5" hidden="1" outlineLevel="1" x14ac:dyDescent="0.25">
      <c r="A65" s="22" t="s">
        <v>70</v>
      </c>
      <c r="B65" s="23" t="s">
        <v>71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5" customFormat="1" ht="31.5" hidden="1" outlineLevel="1" x14ac:dyDescent="0.25">
      <c r="A66" s="22" t="s">
        <v>72</v>
      </c>
      <c r="B66" s="23" t="s">
        <v>73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28" customFormat="1" collapsed="1" x14ac:dyDescent="0.25">
      <c r="A67" s="20" t="s">
        <v>528</v>
      </c>
      <c r="B67" s="32" t="s">
        <v>529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s="439" customFormat="1" x14ac:dyDescent="0.25">
      <c r="A68" s="443" t="s">
        <v>530</v>
      </c>
      <c r="B68" s="419" t="s">
        <v>708</v>
      </c>
      <c r="C68" s="390" t="s">
        <v>733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</row>
    <row r="69" spans="1:19" s="344" customFormat="1" x14ac:dyDescent="0.25">
      <c r="A69" s="341"/>
      <c r="B69" s="342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</row>
    <row r="73" spans="1:19" s="1" customFormat="1" x14ac:dyDescent="0.2">
      <c r="B73" s="181" t="s">
        <v>77</v>
      </c>
      <c r="C73" s="13"/>
      <c r="D73" s="13"/>
      <c r="E73" s="13" t="s">
        <v>668</v>
      </c>
    </row>
  </sheetData>
  <mergeCells count="23">
    <mergeCell ref="A10:S10"/>
    <mergeCell ref="A11:S11"/>
    <mergeCell ref="A12:A15"/>
    <mergeCell ref="B12:B15"/>
    <mergeCell ref="C12:C15"/>
    <mergeCell ref="D12:S12"/>
    <mergeCell ref="D13:I13"/>
    <mergeCell ref="J13:O13"/>
    <mergeCell ref="A9:S9"/>
    <mergeCell ref="A1:S1"/>
    <mergeCell ref="A2:S2"/>
    <mergeCell ref="A4:S4"/>
    <mergeCell ref="A5:S5"/>
    <mergeCell ref="A7:S7"/>
    <mergeCell ref="P13:S13"/>
    <mergeCell ref="D14:E14"/>
    <mergeCell ref="R14:S14"/>
    <mergeCell ref="F14:G14"/>
    <mergeCell ref="H14:I14"/>
    <mergeCell ref="J14:K14"/>
    <mergeCell ref="L14:M14"/>
    <mergeCell ref="N14:O14"/>
    <mergeCell ref="P14:Q14"/>
  </mergeCells>
  <pageMargins left="0.7" right="0.7" top="0.75" bottom="0.75" header="0.3" footer="0.3"/>
  <pageSetup paperSize="8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3"/>
  <sheetViews>
    <sheetView topLeftCell="A7" zoomScale="53" zoomScaleNormal="53" workbookViewId="0">
      <selection activeCell="N47" sqref="N47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19" ht="18.75" x14ac:dyDescent="0.3">
      <c r="A2" s="605" t="s">
        <v>746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603" t="s">
        <v>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</row>
    <row r="5" spans="1:19" x14ac:dyDescent="0.25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603" t="s">
        <v>743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</row>
    <row r="8" spans="1:19" ht="18.75" x14ac:dyDescent="0.25">
      <c r="A8" s="412"/>
      <c r="B8" s="413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3"/>
      <c r="Q8" s="413"/>
      <c r="R8" s="413"/>
      <c r="S8" s="413"/>
    </row>
    <row r="9" spans="1:19" ht="15.75" customHeight="1" x14ac:dyDescent="0.3">
      <c r="A9" s="600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</row>
    <row r="10" spans="1:19" ht="15.75" customHeight="1" x14ac:dyDescent="0.25">
      <c r="A10" s="601" t="s">
        <v>226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</row>
    <row r="11" spans="1:19" ht="15.75" customHeight="1" x14ac:dyDescent="0.3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</row>
    <row r="12" spans="1:19" ht="31.5" customHeight="1" x14ac:dyDescent="0.25">
      <c r="A12" s="602" t="s">
        <v>4</v>
      </c>
      <c r="B12" s="602" t="s">
        <v>5</v>
      </c>
      <c r="C12" s="602" t="s">
        <v>6</v>
      </c>
      <c r="D12" s="602" t="s">
        <v>7</v>
      </c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</row>
    <row r="13" spans="1:19" ht="87" customHeight="1" x14ac:dyDescent="0.25">
      <c r="A13" s="602"/>
      <c r="B13" s="602"/>
      <c r="C13" s="602"/>
      <c r="D13" s="602" t="s">
        <v>8</v>
      </c>
      <c r="E13" s="602"/>
      <c r="F13" s="602"/>
      <c r="G13" s="602"/>
      <c r="H13" s="602"/>
      <c r="I13" s="602"/>
      <c r="J13" s="602" t="s">
        <v>9</v>
      </c>
      <c r="K13" s="602"/>
      <c r="L13" s="602"/>
      <c r="M13" s="602"/>
      <c r="N13" s="602"/>
      <c r="O13" s="602"/>
      <c r="P13" s="602" t="s">
        <v>10</v>
      </c>
      <c r="Q13" s="602"/>
      <c r="R13" s="602"/>
      <c r="S13" s="602"/>
    </row>
    <row r="14" spans="1:19" ht="179.25" customHeight="1" x14ac:dyDescent="0.25">
      <c r="A14" s="602"/>
      <c r="B14" s="602"/>
      <c r="C14" s="602"/>
      <c r="D14" s="602" t="s">
        <v>11</v>
      </c>
      <c r="E14" s="602"/>
      <c r="F14" s="602" t="s">
        <v>12</v>
      </c>
      <c r="G14" s="602"/>
      <c r="H14" s="602" t="s">
        <v>13</v>
      </c>
      <c r="I14" s="602"/>
      <c r="J14" s="602" t="s">
        <v>14</v>
      </c>
      <c r="K14" s="602"/>
      <c r="L14" s="602" t="s">
        <v>15</v>
      </c>
      <c r="M14" s="602"/>
      <c r="N14" s="602" t="s">
        <v>16</v>
      </c>
      <c r="O14" s="602"/>
      <c r="P14" s="602" t="s">
        <v>17</v>
      </c>
      <c r="Q14" s="602"/>
      <c r="R14" s="602" t="s">
        <v>18</v>
      </c>
      <c r="S14" s="602"/>
    </row>
    <row r="15" spans="1:19" ht="126.75" x14ac:dyDescent="0.25">
      <c r="A15" s="602"/>
      <c r="B15" s="602"/>
      <c r="C15" s="602"/>
      <c r="D15" s="5" t="s">
        <v>526</v>
      </c>
      <c r="E15" s="5" t="s">
        <v>136</v>
      </c>
      <c r="F15" s="5" t="s">
        <v>526</v>
      </c>
      <c r="G15" s="5" t="s">
        <v>136</v>
      </c>
      <c r="H15" s="5" t="s">
        <v>526</v>
      </c>
      <c r="I15" s="5" t="s">
        <v>136</v>
      </c>
      <c r="J15" s="5" t="s">
        <v>526</v>
      </c>
      <c r="K15" s="5" t="s">
        <v>136</v>
      </c>
      <c r="L15" s="5" t="s">
        <v>526</v>
      </c>
      <c r="M15" s="5" t="s">
        <v>136</v>
      </c>
      <c r="N15" s="5" t="s">
        <v>526</v>
      </c>
      <c r="O15" s="5" t="s">
        <v>136</v>
      </c>
      <c r="P15" s="5" t="s">
        <v>526</v>
      </c>
      <c r="Q15" s="5" t="s">
        <v>136</v>
      </c>
      <c r="R15" s="5" t="s">
        <v>526</v>
      </c>
      <c r="S15" s="5" t="s">
        <v>136</v>
      </c>
    </row>
    <row r="16" spans="1:19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8" t="s">
        <v>29</v>
      </c>
      <c r="Q16" s="8" t="s">
        <v>30</v>
      </c>
      <c r="R16" s="8" t="s">
        <v>31</v>
      </c>
      <c r="S16" s="8" t="s">
        <v>32</v>
      </c>
    </row>
    <row r="17" spans="1:19" s="28" customFormat="1" x14ac:dyDescent="0.25">
      <c r="A17" s="20" t="s">
        <v>33</v>
      </c>
      <c r="B17" s="21" t="s">
        <v>34</v>
      </c>
      <c r="C17" s="36">
        <f>C18</f>
        <v>0</v>
      </c>
      <c r="D17" s="36">
        <f t="shared" ref="D17:S17" si="0">D18</f>
        <v>0.437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81">
        <f t="shared" si="0"/>
        <v>0</v>
      </c>
      <c r="L17" s="36">
        <f t="shared" si="0"/>
        <v>0</v>
      </c>
      <c r="M17" s="381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81</v>
      </c>
      <c r="B18" s="19" t="s">
        <v>36</v>
      </c>
      <c r="C18" s="37">
        <f>C19+C39</f>
        <v>0</v>
      </c>
      <c r="D18" s="37">
        <f t="shared" ref="D18:S18" si="1">D19+D39</f>
        <v>0.437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82">
        <f t="shared" si="1"/>
        <v>0</v>
      </c>
      <c r="L18" s="37">
        <f t="shared" si="1"/>
        <v>0</v>
      </c>
      <c r="M18" s="382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37</v>
      </c>
      <c r="B19" s="21" t="s">
        <v>38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81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82</v>
      </c>
      <c r="B20" s="30" t="s">
        <v>83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3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84</v>
      </c>
      <c r="B21" s="19" t="s">
        <v>85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2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86</v>
      </c>
      <c r="B22" s="19" t="s">
        <v>87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2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88</v>
      </c>
      <c r="B23" s="19" t="s">
        <v>89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2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90</v>
      </c>
      <c r="B24" s="30" t="s">
        <v>91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3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92</v>
      </c>
      <c r="B25" s="19" t="s">
        <v>93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2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94</v>
      </c>
      <c r="B26" s="19" t="s">
        <v>95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2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96</v>
      </c>
      <c r="B27" s="30" t="s">
        <v>97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3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98</v>
      </c>
      <c r="B28" s="19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2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103</v>
      </c>
      <c r="B29" s="19" t="s">
        <v>100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2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105</v>
      </c>
      <c r="B30" s="19" t="s">
        <v>101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2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106</v>
      </c>
      <c r="B31" s="19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2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107</v>
      </c>
      <c r="B32" s="19" t="s">
        <v>99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2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108</v>
      </c>
      <c r="B33" s="19" t="s">
        <v>100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2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109</v>
      </c>
      <c r="B34" s="19" t="s">
        <v>101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2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110</v>
      </c>
      <c r="B35" s="19" t="s">
        <v>104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2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39</v>
      </c>
      <c r="B36" s="34" t="s">
        <v>40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80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49" customFormat="1" x14ac:dyDescent="0.25">
      <c r="A37" s="14"/>
      <c r="B37" s="16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84"/>
      <c r="N37" s="348"/>
      <c r="O37" s="348"/>
      <c r="P37" s="348"/>
      <c r="Q37" s="348"/>
      <c r="R37" s="348"/>
      <c r="S37" s="348"/>
    </row>
    <row r="38" spans="1:19" s="31" customFormat="1" ht="47.25" hidden="1" x14ac:dyDescent="0.25">
      <c r="A38" s="29" t="s">
        <v>111</v>
      </c>
      <c r="B38" s="30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3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42</v>
      </c>
      <c r="B39" s="21" t="s">
        <v>43</v>
      </c>
      <c r="C39" s="36">
        <v>0</v>
      </c>
      <c r="D39" s="36">
        <f t="shared" ref="D39:S39" si="4">D40+D45+D50</f>
        <v>0.437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81">
        <f t="shared" si="4"/>
        <v>0</v>
      </c>
      <c r="L39" s="36">
        <f t="shared" si="4"/>
        <v>0</v>
      </c>
      <c r="M39" s="381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79</v>
      </c>
      <c r="B40" s="34" t="s">
        <v>80</v>
      </c>
      <c r="C40" s="39" t="str">
        <f>C41</f>
        <v>L_011</v>
      </c>
      <c r="D40" s="39">
        <f t="shared" ref="D40:S41" si="5">D41</f>
        <v>0.437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80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44</v>
      </c>
      <c r="B41" s="16" t="s">
        <v>45</v>
      </c>
      <c r="C41" s="40" t="str">
        <f>C42</f>
        <v>L_011</v>
      </c>
      <c r="D41" s="40">
        <f>D42+D43</f>
        <v>0.437</v>
      </c>
      <c r="E41" s="40">
        <f t="shared" ref="E41:H41" si="6">E42+E43</f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5"/>
        <v>0</v>
      </c>
      <c r="J41" s="40">
        <f t="shared" si="5"/>
        <v>0</v>
      </c>
      <c r="K41" s="40">
        <f t="shared" si="5"/>
        <v>0</v>
      </c>
      <c r="L41" s="40">
        <f t="shared" si="5"/>
        <v>0</v>
      </c>
      <c r="M41" s="385">
        <f t="shared" si="5"/>
        <v>0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</row>
    <row r="42" spans="1:19" s="345" customFormat="1" x14ac:dyDescent="0.25">
      <c r="A42" s="388" t="s">
        <v>527</v>
      </c>
      <c r="B42" s="419" t="s">
        <v>736</v>
      </c>
      <c r="C42" s="390" t="s">
        <v>722</v>
      </c>
      <c r="D42" s="438">
        <v>0.437</v>
      </c>
      <c r="E42" s="438"/>
      <c r="F42" s="438"/>
      <c r="G42" s="438"/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42">
        <v>0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8">
        <v>0</v>
      </c>
    </row>
    <row r="43" spans="1:19" s="345" customFormat="1" x14ac:dyDescent="0.25">
      <c r="A43" s="14" t="s">
        <v>527</v>
      </c>
      <c r="B43" s="347"/>
      <c r="C43" s="343"/>
      <c r="D43" s="343"/>
      <c r="E43" s="343"/>
      <c r="F43" s="343"/>
      <c r="G43" s="343"/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86">
        <v>0</v>
      </c>
      <c r="N43" s="343">
        <v>0</v>
      </c>
      <c r="O43" s="343">
        <v>0</v>
      </c>
      <c r="P43" s="343">
        <v>0</v>
      </c>
      <c r="Q43" s="343">
        <v>0</v>
      </c>
      <c r="R43" s="343">
        <v>0</v>
      </c>
      <c r="S43" s="343">
        <v>0</v>
      </c>
    </row>
    <row r="44" spans="1:19" ht="31.5" x14ac:dyDescent="0.25">
      <c r="A44" s="14" t="s">
        <v>112</v>
      </c>
      <c r="B44" s="16" t="s">
        <v>113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85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47</v>
      </c>
      <c r="B45" s="34" t="s">
        <v>48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87">
        <f t="shared" si="7"/>
        <v>0</v>
      </c>
      <c r="L45" s="39">
        <f t="shared" si="7"/>
        <v>0</v>
      </c>
      <c r="M45" s="380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74</v>
      </c>
      <c r="B46" s="16" t="s">
        <v>75</v>
      </c>
      <c r="C46" s="40">
        <f t="shared" ref="C46:S46" si="8">C48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378">
        <f>K47+K48</f>
        <v>0</v>
      </c>
      <c r="L46" s="377">
        <f t="shared" ref="L46:O46" si="9">L47+L48</f>
        <v>0</v>
      </c>
      <c r="M46" s="385">
        <f t="shared" si="9"/>
        <v>0</v>
      </c>
      <c r="N46" s="377">
        <f t="shared" si="9"/>
        <v>0</v>
      </c>
      <c r="O46" s="379">
        <f t="shared" si="9"/>
        <v>0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45" customFormat="1" ht="38.25" x14ac:dyDescent="0.25">
      <c r="A47" s="388" t="s">
        <v>662</v>
      </c>
      <c r="B47" s="417" t="s">
        <v>741</v>
      </c>
      <c r="C47" s="390" t="s">
        <v>727</v>
      </c>
      <c r="D47" s="438">
        <v>0.16</v>
      </c>
      <c r="E47" s="440"/>
      <c r="F47" s="438"/>
      <c r="G47" s="438"/>
      <c r="H47" s="438"/>
      <c r="I47" s="438"/>
      <c r="J47" s="438"/>
      <c r="K47" s="441"/>
      <c r="L47" s="438"/>
      <c r="M47" s="442"/>
      <c r="N47" s="438"/>
      <c r="O47" s="438"/>
      <c r="P47" s="438"/>
      <c r="Q47" s="438"/>
      <c r="R47" s="438"/>
      <c r="S47" s="438"/>
    </row>
    <row r="48" spans="1:19" s="345" customFormat="1" x14ac:dyDescent="0.25">
      <c r="A48" s="388"/>
      <c r="B48" s="417"/>
      <c r="C48" s="390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</row>
    <row r="49" spans="1:19" ht="31.5" hidden="1" x14ac:dyDescent="0.25">
      <c r="A49" s="14" t="s">
        <v>114</v>
      </c>
      <c r="B49" s="16" t="s">
        <v>115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116</v>
      </c>
      <c r="B50" s="34" t="s">
        <v>117</v>
      </c>
      <c r="C50" s="39">
        <f>C56+C58</f>
        <v>0</v>
      </c>
      <c r="D50" s="39">
        <f t="shared" ref="D50:S50" si="10">D56+D58</f>
        <v>0</v>
      </c>
      <c r="E50" s="39">
        <f t="shared" si="10"/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0</v>
      </c>
      <c r="K50" s="39">
        <f t="shared" si="10"/>
        <v>0</v>
      </c>
      <c r="L50" s="39">
        <f t="shared" si="10"/>
        <v>0</v>
      </c>
      <c r="M50" s="39">
        <f t="shared" si="10"/>
        <v>0</v>
      </c>
      <c r="N50" s="39">
        <f t="shared" si="10"/>
        <v>0</v>
      </c>
      <c r="O50" s="39">
        <f t="shared" si="10"/>
        <v>0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 t="shared" si="10"/>
        <v>0</v>
      </c>
    </row>
    <row r="51" spans="1:19" ht="31.5" outlineLevel="1" x14ac:dyDescent="0.25">
      <c r="A51" s="14" t="s">
        <v>118</v>
      </c>
      <c r="B51" s="16" t="s">
        <v>119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outlineLevel="1" x14ac:dyDescent="0.25">
      <c r="A52" s="388" t="s">
        <v>704</v>
      </c>
      <c r="B52" s="421" t="s">
        <v>706</v>
      </c>
      <c r="C52" s="390" t="s">
        <v>731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</row>
    <row r="53" spans="1:19" ht="31.5" outlineLevel="1" x14ac:dyDescent="0.25">
      <c r="A53" s="14" t="s">
        <v>120</v>
      </c>
      <c r="B53" s="16" t="s">
        <v>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outlineLevel="1" x14ac:dyDescent="0.25">
      <c r="A54" s="14" t="s">
        <v>50</v>
      </c>
      <c r="B54" s="16" t="s">
        <v>51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outlineLevel="1" x14ac:dyDescent="0.25">
      <c r="A55" s="14" t="s">
        <v>52</v>
      </c>
      <c r="B55" s="16" t="s">
        <v>53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31.5" x14ac:dyDescent="0.25">
      <c r="A56" s="14" t="s">
        <v>54</v>
      </c>
      <c r="B56" s="16" t="s">
        <v>55</v>
      </c>
      <c r="C56" s="40">
        <f>C57</f>
        <v>0</v>
      </c>
      <c r="D56" s="40">
        <f t="shared" ref="D56:S56" si="11">D57</f>
        <v>0</v>
      </c>
      <c r="E56" s="40">
        <f t="shared" si="11"/>
        <v>0</v>
      </c>
      <c r="F56" s="40">
        <f t="shared" si="11"/>
        <v>0</v>
      </c>
      <c r="G56" s="40">
        <f t="shared" si="11"/>
        <v>0</v>
      </c>
      <c r="H56" s="40">
        <f t="shared" si="11"/>
        <v>0</v>
      </c>
      <c r="I56" s="40">
        <f t="shared" si="11"/>
        <v>0</v>
      </c>
      <c r="J56" s="40">
        <f t="shared" si="11"/>
        <v>0</v>
      </c>
      <c r="K56" s="40">
        <f t="shared" si="11"/>
        <v>0</v>
      </c>
      <c r="L56" s="40">
        <f t="shared" si="11"/>
        <v>0</v>
      </c>
      <c r="M56" s="40">
        <f t="shared" si="11"/>
        <v>0</v>
      </c>
      <c r="N56" s="40">
        <f t="shared" si="11"/>
        <v>0</v>
      </c>
      <c r="O56" s="40">
        <f t="shared" si="11"/>
        <v>0</v>
      </c>
      <c r="P56" s="40">
        <f t="shared" si="11"/>
        <v>0</v>
      </c>
      <c r="Q56" s="40">
        <f t="shared" si="11"/>
        <v>0</v>
      </c>
      <c r="R56" s="40">
        <f t="shared" si="11"/>
        <v>0</v>
      </c>
      <c r="S56" s="40">
        <f t="shared" si="11"/>
        <v>0</v>
      </c>
    </row>
    <row r="57" spans="1:19" s="345" customFormat="1" x14ac:dyDescent="0.25">
      <c r="A57" s="14"/>
      <c r="B57" s="16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</row>
    <row r="58" spans="1:19" ht="31.5" hidden="1" outlineLevel="1" x14ac:dyDescent="0.25">
      <c r="A58" s="14" t="s">
        <v>56</v>
      </c>
      <c r="B58" s="16" t="s">
        <v>57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31.5" hidden="1" outlineLevel="1" x14ac:dyDescent="0.25">
      <c r="A59" s="14" t="s">
        <v>58</v>
      </c>
      <c r="B59" s="16" t="s">
        <v>59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31.5" hidden="1" outlineLevel="1" x14ac:dyDescent="0.25">
      <c r="A60" s="14" t="s">
        <v>60</v>
      </c>
      <c r="B60" s="16" t="s">
        <v>61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25" customFormat="1" ht="31.5" hidden="1" outlineLevel="1" x14ac:dyDescent="0.25">
      <c r="A61" s="22" t="s">
        <v>62</v>
      </c>
      <c r="B61" s="23" t="s">
        <v>63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idden="1" outlineLevel="1" x14ac:dyDescent="0.25">
      <c r="A62" s="14" t="s">
        <v>64</v>
      </c>
      <c r="B62" s="16" t="s">
        <v>65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31.5" hidden="1" outlineLevel="1" x14ac:dyDescent="0.25">
      <c r="A63" s="14" t="s">
        <v>66</v>
      </c>
      <c r="B63" s="16" t="s">
        <v>67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s="28" customFormat="1" ht="47.25" hidden="1" outlineLevel="1" collapsed="1" x14ac:dyDescent="0.25">
      <c r="A64" s="20" t="s">
        <v>68</v>
      </c>
      <c r="B64" s="32" t="s">
        <v>69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25" customFormat="1" ht="31.5" hidden="1" outlineLevel="1" x14ac:dyDescent="0.25">
      <c r="A65" s="22" t="s">
        <v>70</v>
      </c>
      <c r="B65" s="23" t="s">
        <v>71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5" customFormat="1" ht="31.5" hidden="1" outlineLevel="1" x14ac:dyDescent="0.25">
      <c r="A66" s="22" t="s">
        <v>72</v>
      </c>
      <c r="B66" s="23" t="s">
        <v>73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28" customFormat="1" collapsed="1" x14ac:dyDescent="0.25">
      <c r="A67" s="20" t="s">
        <v>528</v>
      </c>
      <c r="B67" s="32" t="s">
        <v>529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s="439" customFormat="1" x14ac:dyDescent="0.25">
      <c r="A68" s="443" t="s">
        <v>707</v>
      </c>
      <c r="B68" s="419" t="s">
        <v>709</v>
      </c>
      <c r="C68" s="390" t="s">
        <v>734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</row>
    <row r="69" spans="1:19" s="344" customFormat="1" x14ac:dyDescent="0.25">
      <c r="A69" s="341"/>
      <c r="B69" s="342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</row>
    <row r="73" spans="1:19" s="1" customFormat="1" x14ac:dyDescent="0.2">
      <c r="B73" s="181" t="s">
        <v>77</v>
      </c>
      <c r="C73" s="13"/>
      <c r="D73" s="13"/>
      <c r="E73" s="13" t="s">
        <v>668</v>
      </c>
    </row>
  </sheetData>
  <mergeCells count="23">
    <mergeCell ref="A10:S10"/>
    <mergeCell ref="A11:S11"/>
    <mergeCell ref="A12:A15"/>
    <mergeCell ref="B12:B15"/>
    <mergeCell ref="C12:C15"/>
    <mergeCell ref="D12:S12"/>
    <mergeCell ref="D13:I13"/>
    <mergeCell ref="J13:O13"/>
    <mergeCell ref="A9:S9"/>
    <mergeCell ref="A1:S1"/>
    <mergeCell ref="A2:S2"/>
    <mergeCell ref="A4:S4"/>
    <mergeCell ref="A5:S5"/>
    <mergeCell ref="A7:S7"/>
    <mergeCell ref="P13:S13"/>
    <mergeCell ref="D14:E14"/>
    <mergeCell ref="R14:S14"/>
    <mergeCell ref="F14:G14"/>
    <mergeCell ref="H14:I14"/>
    <mergeCell ref="J14:K14"/>
    <mergeCell ref="L14:M14"/>
    <mergeCell ref="N14:O14"/>
    <mergeCell ref="P14:Q14"/>
  </mergeCells>
  <pageMargins left="0.7" right="0.7" top="0.75" bottom="0.75" header="0.3" footer="0.3"/>
  <pageSetup paperSize="8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2"/>
  <sheetViews>
    <sheetView topLeftCell="A13" zoomScale="57" zoomScaleNormal="57" workbookViewId="0">
      <selection activeCell="D55" sqref="D55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19" ht="18.75" x14ac:dyDescent="0.3">
      <c r="A2" s="605" t="s">
        <v>747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603" t="s">
        <v>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</row>
    <row r="5" spans="1:19" x14ac:dyDescent="0.25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603" t="s">
        <v>743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</row>
    <row r="8" spans="1:19" ht="18.75" x14ac:dyDescent="0.25">
      <c r="A8" s="412"/>
      <c r="B8" s="413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3"/>
      <c r="Q8" s="413"/>
      <c r="R8" s="413"/>
      <c r="S8" s="413"/>
    </row>
    <row r="9" spans="1:19" ht="15.75" customHeight="1" x14ac:dyDescent="0.3">
      <c r="A9" s="600"/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</row>
    <row r="10" spans="1:19" ht="15.75" customHeight="1" x14ac:dyDescent="0.25">
      <c r="A10" s="601" t="s">
        <v>226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</row>
    <row r="11" spans="1:19" ht="15.75" customHeight="1" x14ac:dyDescent="0.3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</row>
    <row r="12" spans="1:19" ht="31.5" customHeight="1" x14ac:dyDescent="0.25">
      <c r="A12" s="602" t="s">
        <v>4</v>
      </c>
      <c r="B12" s="602" t="s">
        <v>5</v>
      </c>
      <c r="C12" s="602" t="s">
        <v>6</v>
      </c>
      <c r="D12" s="602" t="s">
        <v>7</v>
      </c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</row>
    <row r="13" spans="1:19" ht="87" customHeight="1" x14ac:dyDescent="0.25">
      <c r="A13" s="602"/>
      <c r="B13" s="602"/>
      <c r="C13" s="602"/>
      <c r="D13" s="602" t="s">
        <v>8</v>
      </c>
      <c r="E13" s="602"/>
      <c r="F13" s="602"/>
      <c r="G13" s="602"/>
      <c r="H13" s="602"/>
      <c r="I13" s="602"/>
      <c r="J13" s="602" t="s">
        <v>9</v>
      </c>
      <c r="K13" s="602"/>
      <c r="L13" s="602"/>
      <c r="M13" s="602"/>
      <c r="N13" s="602"/>
      <c r="O13" s="602"/>
      <c r="P13" s="602" t="s">
        <v>10</v>
      </c>
      <c r="Q13" s="602"/>
      <c r="R13" s="602"/>
      <c r="S13" s="602"/>
    </row>
    <row r="14" spans="1:19" ht="179.25" customHeight="1" x14ac:dyDescent="0.25">
      <c r="A14" s="602"/>
      <c r="B14" s="602"/>
      <c r="C14" s="602"/>
      <c r="D14" s="602" t="s">
        <v>11</v>
      </c>
      <c r="E14" s="602"/>
      <c r="F14" s="602" t="s">
        <v>12</v>
      </c>
      <c r="G14" s="602"/>
      <c r="H14" s="602" t="s">
        <v>13</v>
      </c>
      <c r="I14" s="602"/>
      <c r="J14" s="602" t="s">
        <v>14</v>
      </c>
      <c r="K14" s="602"/>
      <c r="L14" s="602" t="s">
        <v>15</v>
      </c>
      <c r="M14" s="602"/>
      <c r="N14" s="602" t="s">
        <v>16</v>
      </c>
      <c r="O14" s="602"/>
      <c r="P14" s="602" t="s">
        <v>17</v>
      </c>
      <c r="Q14" s="602"/>
      <c r="R14" s="602" t="s">
        <v>18</v>
      </c>
      <c r="S14" s="602"/>
    </row>
    <row r="15" spans="1:19" ht="126.75" x14ac:dyDescent="0.25">
      <c r="A15" s="602"/>
      <c r="B15" s="602"/>
      <c r="C15" s="602"/>
      <c r="D15" s="5" t="s">
        <v>526</v>
      </c>
      <c r="E15" s="5" t="s">
        <v>136</v>
      </c>
      <c r="F15" s="5" t="s">
        <v>526</v>
      </c>
      <c r="G15" s="5" t="s">
        <v>136</v>
      </c>
      <c r="H15" s="5" t="s">
        <v>526</v>
      </c>
      <c r="I15" s="5" t="s">
        <v>136</v>
      </c>
      <c r="J15" s="5" t="s">
        <v>526</v>
      </c>
      <c r="K15" s="5" t="s">
        <v>136</v>
      </c>
      <c r="L15" s="5" t="s">
        <v>526</v>
      </c>
      <c r="M15" s="5" t="s">
        <v>136</v>
      </c>
      <c r="N15" s="5" t="s">
        <v>526</v>
      </c>
      <c r="O15" s="5" t="s">
        <v>136</v>
      </c>
      <c r="P15" s="5" t="s">
        <v>526</v>
      </c>
      <c r="Q15" s="5" t="s">
        <v>136</v>
      </c>
      <c r="R15" s="5" t="s">
        <v>526</v>
      </c>
      <c r="S15" s="5" t="s">
        <v>136</v>
      </c>
    </row>
    <row r="16" spans="1:19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8" t="s">
        <v>29</v>
      </c>
      <c r="Q16" s="8" t="s">
        <v>30</v>
      </c>
      <c r="R16" s="8" t="s">
        <v>31</v>
      </c>
      <c r="S16" s="8" t="s">
        <v>32</v>
      </c>
    </row>
    <row r="17" spans="1:19" s="28" customFormat="1" x14ac:dyDescent="0.25">
      <c r="A17" s="20" t="s">
        <v>33</v>
      </c>
      <c r="B17" s="21" t="s">
        <v>34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81">
        <f t="shared" si="0"/>
        <v>0</v>
      </c>
      <c r="L17" s="36">
        <f t="shared" si="0"/>
        <v>0</v>
      </c>
      <c r="M17" s="381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81</v>
      </c>
      <c r="B18" s="19" t="s">
        <v>36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82">
        <f t="shared" si="1"/>
        <v>0</v>
      </c>
      <c r="L18" s="37">
        <f t="shared" si="1"/>
        <v>0</v>
      </c>
      <c r="M18" s="382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37</v>
      </c>
      <c r="B19" s="21" t="s">
        <v>38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81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82</v>
      </c>
      <c r="B20" s="30" t="s">
        <v>83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3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84</v>
      </c>
      <c r="B21" s="19" t="s">
        <v>85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2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86</v>
      </c>
      <c r="B22" s="19" t="s">
        <v>87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2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88</v>
      </c>
      <c r="B23" s="19" t="s">
        <v>89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2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90</v>
      </c>
      <c r="B24" s="30" t="s">
        <v>91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3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92</v>
      </c>
      <c r="B25" s="19" t="s">
        <v>93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2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94</v>
      </c>
      <c r="B26" s="19" t="s">
        <v>95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2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96</v>
      </c>
      <c r="B27" s="30" t="s">
        <v>97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3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98</v>
      </c>
      <c r="B28" s="19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2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103</v>
      </c>
      <c r="B29" s="19" t="s">
        <v>100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2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105</v>
      </c>
      <c r="B30" s="19" t="s">
        <v>101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2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106</v>
      </c>
      <c r="B31" s="19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2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107</v>
      </c>
      <c r="B32" s="19" t="s">
        <v>99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2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108</v>
      </c>
      <c r="B33" s="19" t="s">
        <v>100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2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109</v>
      </c>
      <c r="B34" s="19" t="s">
        <v>101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2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110</v>
      </c>
      <c r="B35" s="19" t="s">
        <v>104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2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39</v>
      </c>
      <c r="B36" s="34" t="s">
        <v>40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80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49" customFormat="1" x14ac:dyDescent="0.25">
      <c r="A37" s="14"/>
      <c r="B37" s="16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84"/>
      <c r="N37" s="348"/>
      <c r="O37" s="348"/>
      <c r="P37" s="348"/>
      <c r="Q37" s="348"/>
      <c r="R37" s="348"/>
      <c r="S37" s="348"/>
    </row>
    <row r="38" spans="1:19" s="31" customFormat="1" ht="47.25" hidden="1" x14ac:dyDescent="0.25">
      <c r="A38" s="29" t="s">
        <v>111</v>
      </c>
      <c r="B38" s="30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3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42</v>
      </c>
      <c r="B39" s="21" t="s">
        <v>43</v>
      </c>
      <c r="C39" s="36">
        <v>0</v>
      </c>
      <c r="D39" s="36">
        <f t="shared" ref="D39:S39" si="4">D40+D45+D49</f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81">
        <f t="shared" si="4"/>
        <v>0</v>
      </c>
      <c r="L39" s="36">
        <f t="shared" si="4"/>
        <v>0</v>
      </c>
      <c r="M39" s="381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79</v>
      </c>
      <c r="B40" s="34" t="s">
        <v>80</v>
      </c>
      <c r="C40" s="39" t="str">
        <f>C41</f>
        <v>L_012</v>
      </c>
      <c r="D40" s="39">
        <f t="shared" ref="D40:S41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80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44</v>
      </c>
      <c r="B41" s="16" t="s">
        <v>45</v>
      </c>
      <c r="C41" s="40" t="str">
        <f>C42</f>
        <v>L_012</v>
      </c>
      <c r="D41" s="40">
        <f>D42+D43</f>
        <v>0</v>
      </c>
      <c r="E41" s="40">
        <f t="shared" ref="E41:H41" si="6">E42+E43</f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5"/>
        <v>0</v>
      </c>
      <c r="J41" s="40">
        <f t="shared" si="5"/>
        <v>0</v>
      </c>
      <c r="K41" s="40">
        <f t="shared" si="5"/>
        <v>0</v>
      </c>
      <c r="L41" s="40">
        <f t="shared" si="5"/>
        <v>0</v>
      </c>
      <c r="M41" s="385">
        <f t="shared" si="5"/>
        <v>0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</row>
    <row r="42" spans="1:19" s="345" customFormat="1" x14ac:dyDescent="0.25">
      <c r="A42" s="388" t="s">
        <v>700</v>
      </c>
      <c r="B42" s="419" t="s">
        <v>737</v>
      </c>
      <c r="C42" s="390" t="s">
        <v>723</v>
      </c>
      <c r="D42" s="438"/>
      <c r="E42" s="438"/>
      <c r="F42" s="438"/>
      <c r="G42" s="438"/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42">
        <v>0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8">
        <v>0</v>
      </c>
    </row>
    <row r="43" spans="1:19" s="345" customFormat="1" x14ac:dyDescent="0.25">
      <c r="A43" s="14"/>
      <c r="B43" s="347"/>
      <c r="C43" s="343"/>
      <c r="D43" s="343"/>
      <c r="E43" s="343"/>
      <c r="F43" s="343"/>
      <c r="G43" s="343"/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86">
        <v>0</v>
      </c>
      <c r="N43" s="343">
        <v>0</v>
      </c>
      <c r="O43" s="343">
        <v>0</v>
      </c>
      <c r="P43" s="343">
        <v>0</v>
      </c>
      <c r="Q43" s="343">
        <v>0</v>
      </c>
      <c r="R43" s="343">
        <v>0</v>
      </c>
      <c r="S43" s="343">
        <v>0</v>
      </c>
    </row>
    <row r="44" spans="1:19" ht="31.5" x14ac:dyDescent="0.25">
      <c r="A44" s="14" t="s">
        <v>112</v>
      </c>
      <c r="B44" s="16" t="s">
        <v>113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85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47</v>
      </c>
      <c r="B45" s="34" t="s">
        <v>48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87">
        <f t="shared" si="7"/>
        <v>0</v>
      </c>
      <c r="L45" s="39">
        <f t="shared" si="7"/>
        <v>0</v>
      </c>
      <c r="M45" s="380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74</v>
      </c>
      <c r="B46" s="16" t="s">
        <v>75</v>
      </c>
      <c r="C46" s="40">
        <f t="shared" ref="C46:S46" si="8">C47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378"/>
      <c r="L46" s="377"/>
      <c r="M46" s="385"/>
      <c r="N46" s="377"/>
      <c r="O46" s="379"/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45" customFormat="1" x14ac:dyDescent="0.25">
      <c r="A47" s="14"/>
      <c r="B47" s="445"/>
      <c r="C47" s="416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</row>
    <row r="48" spans="1:19" ht="31.5" hidden="1" x14ac:dyDescent="0.25">
      <c r="A48" s="14" t="s">
        <v>114</v>
      </c>
      <c r="B48" s="16" t="s">
        <v>115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s="35" customFormat="1" ht="31.5" x14ac:dyDescent="0.25">
      <c r="A49" s="33" t="s">
        <v>116</v>
      </c>
      <c r="B49" s="34" t="s">
        <v>117</v>
      </c>
      <c r="C49" s="39">
        <f>C55+C57</f>
        <v>0</v>
      </c>
      <c r="D49" s="39">
        <f t="shared" ref="D49:S49" si="9">D55+D57</f>
        <v>0</v>
      </c>
      <c r="E49" s="39">
        <f t="shared" si="9"/>
        <v>0</v>
      </c>
      <c r="F49" s="39">
        <f t="shared" si="9"/>
        <v>0</v>
      </c>
      <c r="G49" s="39">
        <f t="shared" si="9"/>
        <v>0</v>
      </c>
      <c r="H49" s="39">
        <f t="shared" si="9"/>
        <v>0</v>
      </c>
      <c r="I49" s="39">
        <f t="shared" si="9"/>
        <v>0</v>
      </c>
      <c r="J49" s="39">
        <f t="shared" si="9"/>
        <v>0</v>
      </c>
      <c r="K49" s="39">
        <f t="shared" si="9"/>
        <v>0</v>
      </c>
      <c r="L49" s="39">
        <f t="shared" si="9"/>
        <v>0</v>
      </c>
      <c r="M49" s="39">
        <f t="shared" si="9"/>
        <v>0</v>
      </c>
      <c r="N49" s="39">
        <f t="shared" si="9"/>
        <v>0</v>
      </c>
      <c r="O49" s="39">
        <f t="shared" si="9"/>
        <v>0</v>
      </c>
      <c r="P49" s="39">
        <f t="shared" si="9"/>
        <v>0</v>
      </c>
      <c r="Q49" s="39">
        <f t="shared" si="9"/>
        <v>0</v>
      </c>
      <c r="R49" s="39">
        <f t="shared" si="9"/>
        <v>0</v>
      </c>
      <c r="S49" s="39">
        <f t="shared" si="9"/>
        <v>0</v>
      </c>
    </row>
    <row r="50" spans="1:19" ht="31.5" outlineLevel="1" x14ac:dyDescent="0.25">
      <c r="A50" s="14" t="s">
        <v>118</v>
      </c>
      <c r="B50" s="16" t="s">
        <v>119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outlineLevel="1" x14ac:dyDescent="0.25">
      <c r="A51" s="388" t="s">
        <v>705</v>
      </c>
      <c r="B51" s="421" t="s">
        <v>706</v>
      </c>
      <c r="C51" s="390" t="s">
        <v>732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</row>
    <row r="52" spans="1:19" ht="31.5" outlineLevel="1" x14ac:dyDescent="0.25">
      <c r="A52" s="14" t="s">
        <v>120</v>
      </c>
      <c r="B52" s="16" t="s">
        <v>49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outlineLevel="1" x14ac:dyDescent="0.25">
      <c r="A53" s="14" t="s">
        <v>50</v>
      </c>
      <c r="B53" s="16" t="s">
        <v>51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outlineLevel="1" x14ac:dyDescent="0.25">
      <c r="A54" s="14" t="s">
        <v>52</v>
      </c>
      <c r="B54" s="16" t="s">
        <v>53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x14ac:dyDescent="0.25">
      <c r="A55" s="14" t="s">
        <v>54</v>
      </c>
      <c r="B55" s="16" t="s">
        <v>55</v>
      </c>
      <c r="C55" s="40">
        <f>C56</f>
        <v>0</v>
      </c>
      <c r="D55" s="40">
        <f t="shared" ref="D55:S55" si="10">D56</f>
        <v>0</v>
      </c>
      <c r="E55" s="40">
        <f t="shared" si="10"/>
        <v>0</v>
      </c>
      <c r="F55" s="40">
        <f t="shared" si="10"/>
        <v>0</v>
      </c>
      <c r="G55" s="40">
        <f t="shared" si="10"/>
        <v>0</v>
      </c>
      <c r="H55" s="40">
        <f t="shared" si="10"/>
        <v>0</v>
      </c>
      <c r="I55" s="40">
        <f t="shared" si="10"/>
        <v>0</v>
      </c>
      <c r="J55" s="40">
        <f t="shared" si="10"/>
        <v>0</v>
      </c>
      <c r="K55" s="40">
        <f t="shared" si="10"/>
        <v>0</v>
      </c>
      <c r="L55" s="40">
        <f t="shared" si="10"/>
        <v>0</v>
      </c>
      <c r="M55" s="40">
        <f t="shared" si="10"/>
        <v>0</v>
      </c>
      <c r="N55" s="40">
        <f t="shared" si="10"/>
        <v>0</v>
      </c>
      <c r="O55" s="40">
        <f t="shared" si="10"/>
        <v>0</v>
      </c>
      <c r="P55" s="40">
        <f t="shared" si="10"/>
        <v>0</v>
      </c>
      <c r="Q55" s="40">
        <f t="shared" si="10"/>
        <v>0</v>
      </c>
      <c r="R55" s="40">
        <f t="shared" si="10"/>
        <v>0</v>
      </c>
      <c r="S55" s="40">
        <f t="shared" si="10"/>
        <v>0</v>
      </c>
    </row>
    <row r="56" spans="1:19" s="345" customFormat="1" x14ac:dyDescent="0.25">
      <c r="A56" s="14"/>
      <c r="B56" s="16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</row>
    <row r="57" spans="1:19" ht="31.5" hidden="1" outlineLevel="1" x14ac:dyDescent="0.25">
      <c r="A57" s="14" t="s">
        <v>56</v>
      </c>
      <c r="B57" s="16" t="s">
        <v>57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31.5" hidden="1" outlineLevel="1" x14ac:dyDescent="0.25">
      <c r="A58" s="14" t="s">
        <v>58</v>
      </c>
      <c r="B58" s="16" t="s">
        <v>59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1.5" hidden="1" outlineLevel="1" x14ac:dyDescent="0.25">
      <c r="A59" s="14" t="s">
        <v>60</v>
      </c>
      <c r="B59" s="16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25" customFormat="1" ht="31.5" hidden="1" outlineLevel="1" x14ac:dyDescent="0.25">
      <c r="A60" s="22" t="s">
        <v>62</v>
      </c>
      <c r="B60" s="23" t="s">
        <v>63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idden="1" outlineLevel="1" x14ac:dyDescent="0.25">
      <c r="A61" s="14" t="s">
        <v>64</v>
      </c>
      <c r="B61" s="16" t="s">
        <v>65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 hidden="1" outlineLevel="1" x14ac:dyDescent="0.25">
      <c r="A62" s="14" t="s">
        <v>66</v>
      </c>
      <c r="B62" s="16" t="s">
        <v>67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28" customFormat="1" ht="47.25" hidden="1" outlineLevel="1" collapsed="1" x14ac:dyDescent="0.25">
      <c r="A63" s="20" t="s">
        <v>68</v>
      </c>
      <c r="B63" s="32" t="s">
        <v>69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5" customFormat="1" ht="31.5" hidden="1" outlineLevel="1" x14ac:dyDescent="0.25">
      <c r="A64" s="22" t="s">
        <v>70</v>
      </c>
      <c r="B64" s="23" t="s">
        <v>71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5" customFormat="1" ht="31.5" hidden="1" outlineLevel="1" x14ac:dyDescent="0.25">
      <c r="A65" s="22" t="s">
        <v>72</v>
      </c>
      <c r="B65" s="23" t="s">
        <v>73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8" customFormat="1" collapsed="1" x14ac:dyDescent="0.25">
      <c r="A66" s="20" t="s">
        <v>528</v>
      </c>
      <c r="B66" s="32" t="s">
        <v>529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439" customFormat="1" x14ac:dyDescent="0.25">
      <c r="A67" s="443" t="s">
        <v>707</v>
      </c>
      <c r="B67" s="419" t="s">
        <v>709</v>
      </c>
      <c r="C67" s="390" t="s">
        <v>734</v>
      </c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</row>
    <row r="68" spans="1:19" s="344" customFormat="1" x14ac:dyDescent="0.25">
      <c r="A68" s="341"/>
      <c r="B68" s="342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</row>
    <row r="72" spans="1:19" s="1" customFormat="1" x14ac:dyDescent="0.2">
      <c r="B72" s="181" t="s">
        <v>77</v>
      </c>
      <c r="C72" s="13"/>
      <c r="D72" s="13"/>
      <c r="E72" s="13" t="s">
        <v>668</v>
      </c>
    </row>
  </sheetData>
  <mergeCells count="23">
    <mergeCell ref="A10:S10"/>
    <mergeCell ref="A11:S11"/>
    <mergeCell ref="A12:A15"/>
    <mergeCell ref="B12:B15"/>
    <mergeCell ref="C12:C15"/>
    <mergeCell ref="D12:S12"/>
    <mergeCell ref="D13:I13"/>
    <mergeCell ref="J13:O13"/>
    <mergeCell ref="A9:S9"/>
    <mergeCell ref="A1:S1"/>
    <mergeCell ref="A2:S2"/>
    <mergeCell ref="A4:S4"/>
    <mergeCell ref="A5:S5"/>
    <mergeCell ref="A7:S7"/>
    <mergeCell ref="P13:S13"/>
    <mergeCell ref="D14:E14"/>
    <mergeCell ref="R14:S14"/>
    <mergeCell ref="F14:G14"/>
    <mergeCell ref="H14:I14"/>
    <mergeCell ref="J14:K14"/>
    <mergeCell ref="L14:M14"/>
    <mergeCell ref="N14:O14"/>
    <mergeCell ref="P14:Q14"/>
  </mergeCells>
  <pageMargins left="0.7" right="0.7" top="0.75" bottom="0.75" header="0.3" footer="0.3"/>
  <pageSetup paperSize="8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G84"/>
  <sheetViews>
    <sheetView tabSelected="1" topLeftCell="A11" zoomScale="70" zoomScaleNormal="70" workbookViewId="0">
      <pane xSplit="5" ySplit="5" topLeftCell="BL53" activePane="bottomRight" state="frozen"/>
      <selection activeCell="A11" sqref="A11"/>
      <selection pane="topRight" activeCell="F11" sqref="F11"/>
      <selection pane="bottomLeft" activeCell="A16" sqref="A16"/>
      <selection pane="bottomRight" activeCell="BZ72" sqref="BZ72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customWidth="1" outlineLevel="1"/>
    <col min="4" max="4" width="13.140625" customWidth="1" outlineLevel="1"/>
    <col min="5" max="5" width="14" style="50" customWidth="1" outlineLevel="1"/>
    <col min="6" max="6" width="7.7109375" style="50" customWidth="1" outlineLevel="1"/>
    <col min="7" max="7" width="10.85546875" customWidth="1" outlineLevel="1"/>
    <col min="8" max="9" width="10.7109375" customWidth="1" outlineLevel="1"/>
    <col min="10" max="10" width="16" style="55" customWidth="1" outlineLevel="1"/>
    <col min="11" max="12" width="11" customWidth="1" outlineLevel="1"/>
    <col min="13" max="13" width="15.85546875" style="55" customWidth="1" outlineLevel="1"/>
    <col min="14" max="14" width="19.140625" customWidth="1" outlineLevel="1"/>
    <col min="15" max="15" width="19.42578125" customWidth="1" outlineLevel="1"/>
    <col min="16" max="19" width="11.7109375" customWidth="1" outlineLevel="1"/>
    <col min="20" max="20" width="10.7109375" customWidth="1" outlineLevel="1"/>
    <col min="21" max="21" width="11" customWidth="1" outlineLevel="1"/>
    <col min="22" max="24" width="8.42578125" customWidth="1" outlineLevel="1"/>
    <col min="25" max="25" width="11" customWidth="1" outlineLevel="1"/>
    <col min="26" max="27" width="8.42578125" customWidth="1" outlineLevel="1"/>
    <col min="28" max="28" width="11" customWidth="1" outlineLevel="1"/>
    <col min="29" max="29" width="9.7109375" customWidth="1" outlineLevel="1"/>
    <col min="30" max="30" width="9.42578125" customWidth="1" outlineLevel="1"/>
    <col min="31" max="32" width="8.42578125" customWidth="1" outlineLevel="1"/>
    <col min="33" max="33" width="14" customWidth="1" outlineLevel="1"/>
    <col min="34" max="34" width="9.7109375" customWidth="1" outlineLevel="1"/>
    <col min="35" max="35" width="11" customWidth="1" outlineLevel="1"/>
    <col min="36" max="36" width="8.42578125" customWidth="1" outlineLevel="1"/>
    <col min="37" max="37" width="9.85546875" customWidth="1" outlineLevel="1"/>
    <col min="38" max="38" width="11" customWidth="1" outlineLevel="1"/>
    <col min="39" max="39" width="9.7109375" customWidth="1" outlineLevel="1"/>
    <col min="40" max="40" width="10.42578125" customWidth="1" outlineLevel="1"/>
    <col min="41" max="42" width="8.42578125" customWidth="1" outlineLevel="1"/>
    <col min="43" max="43" width="11" customWidth="1" outlineLevel="1"/>
    <col min="44" max="44" width="9.7109375" customWidth="1" outlineLevel="1"/>
    <col min="45" max="45" width="11.85546875" customWidth="1" outlineLevel="1"/>
    <col min="46" max="47" width="8.42578125" customWidth="1" outlineLevel="1"/>
    <col min="48" max="48" width="10" customWidth="1" outlineLevel="1"/>
    <col min="49" max="49" width="9.7109375" customWidth="1" outlineLevel="1"/>
    <col min="50" max="50" width="11.85546875" customWidth="1" outlineLevel="1"/>
    <col min="51" max="52" width="8.42578125" customWidth="1" outlineLevel="1"/>
    <col min="53" max="53" width="11.140625" customWidth="1" outlineLevel="1"/>
    <col min="54" max="54" width="9.7109375" customWidth="1" outlineLevel="1"/>
    <col min="55" max="55" width="11" customWidth="1" outlineLevel="1"/>
    <col min="56" max="57" width="8.42578125" customWidth="1" outlineLevel="1"/>
    <col min="58" max="58" width="10" customWidth="1" outlineLevel="1"/>
    <col min="59" max="59" width="9.7109375" customWidth="1" outlineLevel="1"/>
    <col min="60" max="60" width="11.85546875" customWidth="1" outlineLevel="1"/>
    <col min="61" max="62" width="8.42578125" customWidth="1" outlineLevel="1"/>
    <col min="63" max="63" width="11.140625" customWidth="1" outlineLevel="1"/>
    <col min="64" max="64" width="9.7109375" customWidth="1" outlineLevel="1"/>
    <col min="65" max="65" width="10.85546875" customWidth="1" outlineLevel="1"/>
    <col min="66" max="66" width="8.42578125" customWidth="1" outlineLevel="1"/>
    <col min="67" max="67" width="10.7109375" customWidth="1" outlineLevel="1"/>
    <col min="68" max="68" width="10" customWidth="1" outlineLevel="1"/>
    <col min="69" max="69" width="9.7109375" customWidth="1" outlineLevel="1"/>
    <col min="70" max="70" width="11.85546875" customWidth="1" outlineLevel="1"/>
    <col min="71" max="72" width="8.42578125" customWidth="1" outlineLevel="1"/>
    <col min="73" max="73" width="11.140625" customWidth="1" outlineLevel="1"/>
    <col min="74" max="74" width="9.7109375" customWidth="1" outlineLevel="1"/>
    <col min="75" max="75" width="10.7109375" bestFit="1" customWidth="1"/>
    <col min="76" max="76" width="8.42578125" bestFit="1" customWidth="1"/>
    <col min="77" max="77" width="10" customWidth="1"/>
    <col min="78" max="78" width="10.7109375" bestFit="1" customWidth="1"/>
    <col min="79" max="79" width="12.140625" customWidth="1"/>
    <col min="80" max="80" width="11" bestFit="1" customWidth="1"/>
    <col min="81" max="82" width="8.42578125" bestFit="1" customWidth="1"/>
    <col min="83" max="83" width="11" bestFit="1" customWidth="1"/>
    <col min="84" max="84" width="14" bestFit="1" customWidth="1"/>
    <col min="85" max="85" width="18.85546875" customWidth="1"/>
  </cols>
  <sheetData>
    <row r="1" spans="1:85" ht="18.75" x14ac:dyDescent="0.25">
      <c r="A1" s="615" t="s">
        <v>122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</row>
    <row r="2" spans="1:85" ht="18.75" x14ac:dyDescent="0.3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</row>
    <row r="3" spans="1:85" ht="18.75" x14ac:dyDescent="0.25">
      <c r="A3" s="603" t="s">
        <v>123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</row>
    <row r="4" spans="1:85" x14ac:dyDescent="0.25">
      <c r="A4" s="606" t="s">
        <v>124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</row>
    <row r="5" spans="1:85" x14ac:dyDescent="0.25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</row>
    <row r="6" spans="1:85" ht="18.75" x14ac:dyDescent="0.3">
      <c r="A6" s="600" t="s">
        <v>669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</row>
    <row r="7" spans="1:85" ht="18.75" x14ac:dyDescent="0.25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</row>
    <row r="8" spans="1:85" ht="18.75" x14ac:dyDescent="0.3">
      <c r="A8" s="600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</row>
    <row r="9" spans="1:85" ht="15.75" customHeight="1" x14ac:dyDescent="0.25">
      <c r="A9" s="601" t="s">
        <v>125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</row>
    <row r="10" spans="1:85" ht="15.75" customHeight="1" x14ac:dyDescent="0.25">
      <c r="A10" s="41"/>
      <c r="B10" s="455" t="s">
        <v>759</v>
      </c>
      <c r="C10" s="41"/>
      <c r="D10" s="41"/>
      <c r="E10" s="46"/>
      <c r="F10" s="46"/>
      <c r="G10" s="41"/>
      <c r="H10" s="41"/>
      <c r="I10" s="41"/>
      <c r="J10" s="51"/>
      <c r="K10" s="41"/>
      <c r="L10" s="41"/>
      <c r="M10" s="5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85" ht="92.25" customHeight="1" x14ac:dyDescent="0.25">
      <c r="A11" s="617" t="s">
        <v>4</v>
      </c>
      <c r="B11" s="617" t="s">
        <v>5</v>
      </c>
      <c r="C11" s="617" t="s">
        <v>126</v>
      </c>
      <c r="D11" s="618" t="s">
        <v>127</v>
      </c>
      <c r="E11" s="618" t="s">
        <v>128</v>
      </c>
      <c r="F11" s="617" t="s">
        <v>129</v>
      </c>
      <c r="G11" s="617"/>
      <c r="H11" s="617" t="s">
        <v>130</v>
      </c>
      <c r="I11" s="617"/>
      <c r="J11" s="617"/>
      <c r="K11" s="617"/>
      <c r="L11" s="617"/>
      <c r="M11" s="617"/>
      <c r="N11" s="621" t="s">
        <v>131</v>
      </c>
      <c r="O11" s="607" t="s">
        <v>132</v>
      </c>
      <c r="P11" s="617" t="s">
        <v>133</v>
      </c>
      <c r="Q11" s="617"/>
      <c r="R11" s="617"/>
      <c r="S11" s="617"/>
      <c r="T11" s="617" t="s">
        <v>134</v>
      </c>
      <c r="U11" s="617"/>
      <c r="V11" s="624" t="s">
        <v>135</v>
      </c>
      <c r="W11" s="625"/>
      <c r="X11" s="626"/>
      <c r="Y11" s="610" t="s">
        <v>181</v>
      </c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2"/>
      <c r="CG11" s="607" t="s">
        <v>182</v>
      </c>
    </row>
    <row r="12" spans="1:85" ht="88.5" customHeight="1" x14ac:dyDescent="0.25">
      <c r="A12" s="617"/>
      <c r="B12" s="617"/>
      <c r="C12" s="617"/>
      <c r="D12" s="618"/>
      <c r="E12" s="618"/>
      <c r="F12" s="617"/>
      <c r="G12" s="617"/>
      <c r="H12" s="610" t="s">
        <v>532</v>
      </c>
      <c r="I12" s="611"/>
      <c r="J12" s="612"/>
      <c r="K12" s="627" t="s">
        <v>136</v>
      </c>
      <c r="L12" s="628"/>
      <c r="M12" s="629"/>
      <c r="N12" s="622"/>
      <c r="O12" s="608"/>
      <c r="P12" s="617" t="s">
        <v>532</v>
      </c>
      <c r="Q12" s="617"/>
      <c r="R12" s="617" t="s">
        <v>136</v>
      </c>
      <c r="S12" s="617"/>
      <c r="T12" s="617"/>
      <c r="U12" s="617"/>
      <c r="V12" s="627"/>
      <c r="W12" s="628"/>
      <c r="X12" s="629"/>
      <c r="Y12" s="610" t="s">
        <v>670</v>
      </c>
      <c r="Z12" s="611"/>
      <c r="AA12" s="611"/>
      <c r="AB12" s="611"/>
      <c r="AC12" s="612"/>
      <c r="AD12" s="610" t="s">
        <v>671</v>
      </c>
      <c r="AE12" s="611"/>
      <c r="AF12" s="611"/>
      <c r="AG12" s="611"/>
      <c r="AH12" s="612"/>
      <c r="AI12" s="610" t="s">
        <v>672</v>
      </c>
      <c r="AJ12" s="611"/>
      <c r="AK12" s="611"/>
      <c r="AL12" s="611"/>
      <c r="AM12" s="612"/>
      <c r="AN12" s="610" t="s">
        <v>673</v>
      </c>
      <c r="AO12" s="611"/>
      <c r="AP12" s="611"/>
      <c r="AQ12" s="611"/>
      <c r="AR12" s="612"/>
      <c r="AS12" s="610" t="s">
        <v>674</v>
      </c>
      <c r="AT12" s="611"/>
      <c r="AU12" s="611"/>
      <c r="AV12" s="611"/>
      <c r="AW12" s="612"/>
      <c r="AX12" s="610" t="s">
        <v>675</v>
      </c>
      <c r="AY12" s="611"/>
      <c r="AZ12" s="611"/>
      <c r="BA12" s="611"/>
      <c r="BB12" s="612"/>
      <c r="BC12" s="610" t="s">
        <v>676</v>
      </c>
      <c r="BD12" s="611"/>
      <c r="BE12" s="611"/>
      <c r="BF12" s="611"/>
      <c r="BG12" s="612"/>
      <c r="BH12" s="610" t="s">
        <v>677</v>
      </c>
      <c r="BI12" s="611"/>
      <c r="BJ12" s="611"/>
      <c r="BK12" s="611"/>
      <c r="BL12" s="612"/>
      <c r="BM12" s="610" t="s">
        <v>678</v>
      </c>
      <c r="BN12" s="611"/>
      <c r="BO12" s="611"/>
      <c r="BP12" s="611"/>
      <c r="BQ12" s="612"/>
      <c r="BR12" s="610" t="s">
        <v>679</v>
      </c>
      <c r="BS12" s="611"/>
      <c r="BT12" s="611"/>
      <c r="BU12" s="611"/>
      <c r="BV12" s="612"/>
      <c r="BW12" s="610" t="s">
        <v>533</v>
      </c>
      <c r="BX12" s="611"/>
      <c r="BY12" s="611"/>
      <c r="BZ12" s="611"/>
      <c r="CA12" s="612"/>
      <c r="CB12" s="610" t="s">
        <v>184</v>
      </c>
      <c r="CC12" s="611"/>
      <c r="CD12" s="611"/>
      <c r="CE12" s="611"/>
      <c r="CF12" s="612"/>
      <c r="CG12" s="608"/>
    </row>
    <row r="13" spans="1:85" ht="269.25" customHeight="1" x14ac:dyDescent="0.25">
      <c r="A13" s="617"/>
      <c r="B13" s="617"/>
      <c r="C13" s="617"/>
      <c r="D13" s="618"/>
      <c r="E13" s="618"/>
      <c r="F13" s="42" t="s">
        <v>531</v>
      </c>
      <c r="G13" s="43" t="s">
        <v>136</v>
      </c>
      <c r="H13" s="44" t="s">
        <v>137</v>
      </c>
      <c r="I13" s="44" t="s">
        <v>138</v>
      </c>
      <c r="J13" s="44" t="s">
        <v>139</v>
      </c>
      <c r="K13" s="44" t="s">
        <v>137</v>
      </c>
      <c r="L13" s="44" t="s">
        <v>138</v>
      </c>
      <c r="M13" s="179" t="s">
        <v>139</v>
      </c>
      <c r="N13" s="623"/>
      <c r="O13" s="609"/>
      <c r="P13" s="44" t="s">
        <v>140</v>
      </c>
      <c r="Q13" s="44" t="s">
        <v>141</v>
      </c>
      <c r="R13" s="44" t="s">
        <v>142</v>
      </c>
      <c r="S13" s="44" t="s">
        <v>141</v>
      </c>
      <c r="T13" s="45" t="s">
        <v>532</v>
      </c>
      <c r="U13" s="45" t="s">
        <v>136</v>
      </c>
      <c r="V13" s="44" t="s">
        <v>143</v>
      </c>
      <c r="W13" s="44" t="s">
        <v>144</v>
      </c>
      <c r="X13" s="44" t="s">
        <v>145</v>
      </c>
      <c r="Y13" s="44" t="s">
        <v>185</v>
      </c>
      <c r="Z13" s="44" t="s">
        <v>186</v>
      </c>
      <c r="AA13" s="44" t="s">
        <v>187</v>
      </c>
      <c r="AB13" s="45" t="s">
        <v>188</v>
      </c>
      <c r="AC13" s="45" t="s">
        <v>189</v>
      </c>
      <c r="AD13" s="44" t="s">
        <v>185</v>
      </c>
      <c r="AE13" s="44" t="s">
        <v>186</v>
      </c>
      <c r="AF13" s="44" t="s">
        <v>187</v>
      </c>
      <c r="AG13" s="45" t="s">
        <v>188</v>
      </c>
      <c r="AH13" s="202" t="s">
        <v>190</v>
      </c>
      <c r="AI13" s="44" t="s">
        <v>185</v>
      </c>
      <c r="AJ13" s="44" t="s">
        <v>186</v>
      </c>
      <c r="AK13" s="44" t="s">
        <v>1420</v>
      </c>
      <c r="AL13" s="45" t="s">
        <v>188</v>
      </c>
      <c r="AM13" s="45" t="s">
        <v>189</v>
      </c>
      <c r="AN13" s="44" t="s">
        <v>185</v>
      </c>
      <c r="AO13" s="44" t="s">
        <v>186</v>
      </c>
      <c r="AP13" s="44" t="s">
        <v>187</v>
      </c>
      <c r="AQ13" s="45" t="s">
        <v>188</v>
      </c>
      <c r="AR13" s="45" t="s">
        <v>190</v>
      </c>
      <c r="AS13" s="44" t="s">
        <v>185</v>
      </c>
      <c r="AT13" s="44" t="s">
        <v>186</v>
      </c>
      <c r="AU13" s="44" t="s">
        <v>187</v>
      </c>
      <c r="AV13" s="45" t="s">
        <v>188</v>
      </c>
      <c r="AW13" s="45" t="s">
        <v>189</v>
      </c>
      <c r="AX13" s="44" t="s">
        <v>185</v>
      </c>
      <c r="AY13" s="44" t="s">
        <v>186</v>
      </c>
      <c r="AZ13" s="44" t="s">
        <v>187</v>
      </c>
      <c r="BA13" s="45" t="s">
        <v>188</v>
      </c>
      <c r="BB13" s="45" t="s">
        <v>190</v>
      </c>
      <c r="BC13" s="411" t="s">
        <v>185</v>
      </c>
      <c r="BD13" s="411" t="s">
        <v>186</v>
      </c>
      <c r="BE13" s="411" t="s">
        <v>187</v>
      </c>
      <c r="BF13" s="408" t="s">
        <v>188</v>
      </c>
      <c r="BG13" s="408" t="s">
        <v>189</v>
      </c>
      <c r="BH13" s="411" t="s">
        <v>185</v>
      </c>
      <c r="BI13" s="411" t="s">
        <v>186</v>
      </c>
      <c r="BJ13" s="411" t="s">
        <v>187</v>
      </c>
      <c r="BK13" s="408" t="s">
        <v>188</v>
      </c>
      <c r="BL13" s="408" t="s">
        <v>190</v>
      </c>
      <c r="BM13" s="411" t="s">
        <v>185</v>
      </c>
      <c r="BN13" s="411" t="s">
        <v>186</v>
      </c>
      <c r="BO13" s="411" t="s">
        <v>1420</v>
      </c>
      <c r="BP13" s="408" t="s">
        <v>188</v>
      </c>
      <c r="BQ13" s="408" t="s">
        <v>189</v>
      </c>
      <c r="BR13" s="411" t="s">
        <v>185</v>
      </c>
      <c r="BS13" s="411" t="s">
        <v>186</v>
      </c>
      <c r="BT13" s="411" t="s">
        <v>187</v>
      </c>
      <c r="BU13" s="408" t="s">
        <v>188</v>
      </c>
      <c r="BV13" s="408" t="s">
        <v>190</v>
      </c>
      <c r="BW13" s="44" t="s">
        <v>185</v>
      </c>
      <c r="BX13" s="44" t="s">
        <v>186</v>
      </c>
      <c r="BY13" s="44" t="s">
        <v>1420</v>
      </c>
      <c r="BZ13" s="45" t="s">
        <v>188</v>
      </c>
      <c r="CA13" s="45" t="s">
        <v>189</v>
      </c>
      <c r="CB13" s="44" t="s">
        <v>185</v>
      </c>
      <c r="CC13" s="44" t="s">
        <v>186</v>
      </c>
      <c r="CD13" s="44" t="s">
        <v>187</v>
      </c>
      <c r="CE13" s="45" t="s">
        <v>188</v>
      </c>
      <c r="CF13" s="44" t="s">
        <v>190</v>
      </c>
      <c r="CG13" s="609"/>
    </row>
    <row r="14" spans="1:85" s="41" customFormat="1" x14ac:dyDescent="0.25">
      <c r="A14" s="57">
        <v>1</v>
      </c>
      <c r="B14" s="57">
        <v>2</v>
      </c>
      <c r="C14" s="407">
        <v>3</v>
      </c>
      <c r="D14" s="407">
        <v>4</v>
      </c>
      <c r="E14" s="407">
        <v>5</v>
      </c>
      <c r="F14" s="407">
        <v>6</v>
      </c>
      <c r="G14" s="407">
        <v>7</v>
      </c>
      <c r="H14" s="407">
        <v>8</v>
      </c>
      <c r="I14" s="407">
        <v>9</v>
      </c>
      <c r="J14" s="407">
        <v>10</v>
      </c>
      <c r="K14" s="407">
        <v>11</v>
      </c>
      <c r="L14" s="407">
        <v>12</v>
      </c>
      <c r="M14" s="407">
        <v>13</v>
      </c>
      <c r="N14" s="407">
        <v>14</v>
      </c>
      <c r="O14" s="407">
        <v>15</v>
      </c>
      <c r="P14" s="407">
        <v>16</v>
      </c>
      <c r="Q14" s="407">
        <v>17</v>
      </c>
      <c r="R14" s="407">
        <v>18</v>
      </c>
      <c r="S14" s="407">
        <v>19</v>
      </c>
      <c r="T14" s="407">
        <v>20</v>
      </c>
      <c r="U14" s="407">
        <v>21</v>
      </c>
      <c r="V14" s="407">
        <v>22</v>
      </c>
      <c r="W14" s="407">
        <v>23</v>
      </c>
      <c r="X14" s="407">
        <v>24</v>
      </c>
      <c r="Y14" s="58" t="s">
        <v>680</v>
      </c>
      <c r="Z14" s="58" t="s">
        <v>681</v>
      </c>
      <c r="AA14" s="58" t="s">
        <v>682</v>
      </c>
      <c r="AB14" s="58" t="s">
        <v>683</v>
      </c>
      <c r="AC14" s="58" t="s">
        <v>684</v>
      </c>
      <c r="AD14" s="58" t="s">
        <v>685</v>
      </c>
      <c r="AE14" s="58" t="s">
        <v>686</v>
      </c>
      <c r="AF14" s="58" t="s">
        <v>687</v>
      </c>
      <c r="AG14" s="58" t="s">
        <v>688</v>
      </c>
      <c r="AH14" s="58" t="s">
        <v>689</v>
      </c>
      <c r="AI14" s="58" t="s">
        <v>151</v>
      </c>
      <c r="AJ14" s="58" t="s">
        <v>152</v>
      </c>
      <c r="AK14" s="58" t="s">
        <v>153</v>
      </c>
      <c r="AL14" s="58" t="s">
        <v>154</v>
      </c>
      <c r="AM14" s="58" t="s">
        <v>155</v>
      </c>
      <c r="AN14" s="58" t="s">
        <v>156</v>
      </c>
      <c r="AO14" s="58" t="s">
        <v>157</v>
      </c>
      <c r="AP14" s="58" t="s">
        <v>158</v>
      </c>
      <c r="AQ14" s="58" t="s">
        <v>159</v>
      </c>
      <c r="AR14" s="58" t="s">
        <v>160</v>
      </c>
      <c r="AS14" s="58" t="s">
        <v>161</v>
      </c>
      <c r="AT14" s="58" t="s">
        <v>162</v>
      </c>
      <c r="AU14" s="58" t="s">
        <v>163</v>
      </c>
      <c r="AV14" s="58" t="s">
        <v>164</v>
      </c>
      <c r="AW14" s="58" t="s">
        <v>165</v>
      </c>
      <c r="AX14" s="58" t="s">
        <v>166</v>
      </c>
      <c r="AY14" s="58" t="s">
        <v>167</v>
      </c>
      <c r="AZ14" s="58" t="s">
        <v>168</v>
      </c>
      <c r="BA14" s="58" t="s">
        <v>169</v>
      </c>
      <c r="BB14" s="58" t="s">
        <v>170</v>
      </c>
      <c r="BC14" s="58" t="s">
        <v>171</v>
      </c>
      <c r="BD14" s="58" t="s">
        <v>172</v>
      </c>
      <c r="BE14" s="58" t="s">
        <v>173</v>
      </c>
      <c r="BF14" s="58" t="s">
        <v>174</v>
      </c>
      <c r="BG14" s="58" t="s">
        <v>175</v>
      </c>
      <c r="BH14" s="58" t="s">
        <v>176</v>
      </c>
      <c r="BI14" s="58" t="s">
        <v>177</v>
      </c>
      <c r="BJ14" s="58" t="s">
        <v>178</v>
      </c>
      <c r="BK14" s="58" t="s">
        <v>179</v>
      </c>
      <c r="BL14" s="58" t="s">
        <v>180</v>
      </c>
      <c r="BM14" s="58" t="s">
        <v>690</v>
      </c>
      <c r="BN14" s="58" t="s">
        <v>691</v>
      </c>
      <c r="BO14" s="58" t="s">
        <v>692</v>
      </c>
      <c r="BP14" s="58" t="s">
        <v>693</v>
      </c>
      <c r="BQ14" s="58" t="s">
        <v>694</v>
      </c>
      <c r="BR14" s="58" t="s">
        <v>695</v>
      </c>
      <c r="BS14" s="58" t="s">
        <v>696</v>
      </c>
      <c r="BT14" s="58" t="s">
        <v>697</v>
      </c>
      <c r="BU14" s="58" t="s">
        <v>698</v>
      </c>
      <c r="BV14" s="58" t="s">
        <v>699</v>
      </c>
      <c r="BW14" s="57">
        <v>33</v>
      </c>
      <c r="BX14" s="57">
        <v>34</v>
      </c>
      <c r="BY14" s="57">
        <v>35</v>
      </c>
      <c r="BZ14" s="57">
        <v>36</v>
      </c>
      <c r="CA14" s="57">
        <v>37</v>
      </c>
      <c r="CB14" s="57">
        <v>38</v>
      </c>
      <c r="CC14" s="57">
        <v>39</v>
      </c>
      <c r="CD14" s="57">
        <v>40</v>
      </c>
      <c r="CE14" s="57">
        <v>41</v>
      </c>
      <c r="CF14" s="57">
        <v>42</v>
      </c>
      <c r="CG14" s="57">
        <v>43</v>
      </c>
    </row>
    <row r="15" spans="1:85" s="128" customFormat="1" x14ac:dyDescent="0.25">
      <c r="A15" s="20" t="s">
        <v>33</v>
      </c>
      <c r="B15" s="64" t="s">
        <v>34</v>
      </c>
      <c r="C15" s="113"/>
      <c r="D15" s="113"/>
      <c r="E15" s="113"/>
      <c r="F15" s="113"/>
      <c r="G15" s="113"/>
      <c r="H15" s="113">
        <f>H16</f>
        <v>68.744070863333334</v>
      </c>
      <c r="I15" s="113">
        <f t="shared" ref="I15:BT15" si="0">I16</f>
        <v>68.744070863333334</v>
      </c>
      <c r="J15" s="113" t="str">
        <f t="shared" si="0"/>
        <v>-</v>
      </c>
      <c r="K15" s="113">
        <f t="shared" si="0"/>
        <v>0</v>
      </c>
      <c r="L15" s="113">
        <f t="shared" si="0"/>
        <v>0</v>
      </c>
      <c r="M15" s="113">
        <f t="shared" si="0"/>
        <v>0</v>
      </c>
      <c r="N15" s="113">
        <f t="shared" si="0"/>
        <v>0</v>
      </c>
      <c r="O15" s="113">
        <f t="shared" si="0"/>
        <v>0</v>
      </c>
      <c r="P15" s="113">
        <f t="shared" si="0"/>
        <v>68.744070863333334</v>
      </c>
      <c r="Q15" s="113">
        <f t="shared" si="0"/>
        <v>79.970077081893706</v>
      </c>
      <c r="R15" s="113">
        <f t="shared" si="0"/>
        <v>0</v>
      </c>
      <c r="S15" s="113">
        <f t="shared" si="0"/>
        <v>0</v>
      </c>
      <c r="T15" s="113">
        <f t="shared" si="0"/>
        <v>79.970077081893706</v>
      </c>
      <c r="U15" s="113">
        <f t="shared" si="0"/>
        <v>0</v>
      </c>
      <c r="V15" s="113">
        <f t="shared" si="0"/>
        <v>0</v>
      </c>
      <c r="W15" s="113">
        <f t="shared" si="0"/>
        <v>0</v>
      </c>
      <c r="X15" s="113">
        <f t="shared" si="0"/>
        <v>0</v>
      </c>
      <c r="Y15" s="113">
        <f t="shared" si="0"/>
        <v>9.722202728000001</v>
      </c>
      <c r="Z15" s="113">
        <f t="shared" si="0"/>
        <v>0</v>
      </c>
      <c r="AA15" s="113">
        <f t="shared" si="0"/>
        <v>0</v>
      </c>
      <c r="AB15" s="113">
        <f t="shared" si="0"/>
        <v>8.1010000000000009</v>
      </c>
      <c r="AC15" s="113">
        <f t="shared" si="0"/>
        <v>1.621</v>
      </c>
      <c r="AD15" s="113">
        <f t="shared" si="0"/>
        <v>0</v>
      </c>
      <c r="AE15" s="113">
        <f t="shared" si="0"/>
        <v>0</v>
      </c>
      <c r="AF15" s="113">
        <f t="shared" si="0"/>
        <v>0</v>
      </c>
      <c r="AG15" s="113">
        <f t="shared" si="0"/>
        <v>0</v>
      </c>
      <c r="AH15" s="113">
        <f t="shared" si="0"/>
        <v>0</v>
      </c>
      <c r="AI15" s="113">
        <f t="shared" si="0"/>
        <v>15.404154241032</v>
      </c>
      <c r="AJ15" s="113">
        <f t="shared" si="0"/>
        <v>0</v>
      </c>
      <c r="AK15" s="113">
        <f t="shared" si="0"/>
        <v>1.1138842069840011</v>
      </c>
      <c r="AL15" s="113">
        <f t="shared" si="0"/>
        <v>8.4819999999999993</v>
      </c>
      <c r="AM15" s="113">
        <f t="shared" si="0"/>
        <v>5.8079999999999998</v>
      </c>
      <c r="AN15" s="113">
        <f t="shared" si="0"/>
        <v>0</v>
      </c>
      <c r="AO15" s="113">
        <f t="shared" si="0"/>
        <v>0</v>
      </c>
      <c r="AP15" s="113">
        <f t="shared" si="0"/>
        <v>0</v>
      </c>
      <c r="AQ15" s="113">
        <f t="shared" si="0"/>
        <v>0</v>
      </c>
      <c r="AR15" s="113">
        <f t="shared" si="0"/>
        <v>0</v>
      </c>
      <c r="AS15" s="113">
        <f t="shared" si="0"/>
        <v>14.191133293534223</v>
      </c>
      <c r="AT15" s="113">
        <f t="shared" si="0"/>
        <v>0</v>
      </c>
      <c r="AU15" s="113">
        <f t="shared" si="0"/>
        <v>0</v>
      </c>
      <c r="AV15" s="113">
        <f t="shared" si="0"/>
        <v>8.879999999999999</v>
      </c>
      <c r="AW15" s="113">
        <f t="shared" si="0"/>
        <v>5.31</v>
      </c>
      <c r="AX15" s="113">
        <f t="shared" si="0"/>
        <v>0</v>
      </c>
      <c r="AY15" s="113">
        <f t="shared" si="0"/>
        <v>0</v>
      </c>
      <c r="AZ15" s="113">
        <f t="shared" si="0"/>
        <v>0</v>
      </c>
      <c r="BA15" s="113">
        <f t="shared" si="0"/>
        <v>0</v>
      </c>
      <c r="BB15" s="113">
        <f t="shared" si="0"/>
        <v>0</v>
      </c>
      <c r="BC15" s="113">
        <f t="shared" si="0"/>
        <v>21.305953060051124</v>
      </c>
      <c r="BD15" s="113">
        <f t="shared" si="0"/>
        <v>0</v>
      </c>
      <c r="BE15" s="113">
        <f t="shared" si="0"/>
        <v>0</v>
      </c>
      <c r="BF15" s="113">
        <f t="shared" si="0"/>
        <v>9.298</v>
      </c>
      <c r="BG15" s="113">
        <f t="shared" si="0"/>
        <v>4.5750000000000002</v>
      </c>
      <c r="BH15" s="113">
        <f t="shared" si="0"/>
        <v>0</v>
      </c>
      <c r="BI15" s="113">
        <f t="shared" si="0"/>
        <v>0</v>
      </c>
      <c r="BJ15" s="113">
        <f t="shared" si="0"/>
        <v>0</v>
      </c>
      <c r="BK15" s="113">
        <f t="shared" si="0"/>
        <v>0</v>
      </c>
      <c r="BL15" s="113">
        <f t="shared" si="0"/>
        <v>0</v>
      </c>
      <c r="BM15" s="113">
        <f t="shared" si="0"/>
        <v>19.346633759276351</v>
      </c>
      <c r="BN15" s="113">
        <f t="shared" si="0"/>
        <v>0</v>
      </c>
      <c r="BO15" s="113">
        <f t="shared" si="0"/>
        <v>2.9469948515348277</v>
      </c>
      <c r="BP15" s="113">
        <f t="shared" si="0"/>
        <v>9.7349999999999994</v>
      </c>
      <c r="BQ15" s="113">
        <f t="shared" si="0"/>
        <v>6.665</v>
      </c>
      <c r="BR15" s="113">
        <f t="shared" si="0"/>
        <v>0</v>
      </c>
      <c r="BS15" s="113">
        <f t="shared" si="0"/>
        <v>0</v>
      </c>
      <c r="BT15" s="113">
        <f t="shared" si="0"/>
        <v>0</v>
      </c>
      <c r="BU15" s="113">
        <f t="shared" ref="BU15:CF15" si="1">BU16</f>
        <v>0</v>
      </c>
      <c r="BV15" s="113">
        <f t="shared" si="1"/>
        <v>0</v>
      </c>
      <c r="BW15" s="113">
        <f t="shared" si="1"/>
        <v>79.970077081893706</v>
      </c>
      <c r="BX15" s="113">
        <f t="shared" si="1"/>
        <v>0</v>
      </c>
      <c r="BY15" s="113">
        <f t="shared" si="1"/>
        <v>4.0608790585188288</v>
      </c>
      <c r="BZ15" s="113">
        <f t="shared" si="1"/>
        <v>44.496000000000002</v>
      </c>
      <c r="CA15" s="113">
        <f t="shared" si="1"/>
        <v>23.978999999999999</v>
      </c>
      <c r="CB15" s="113">
        <f t="shared" si="1"/>
        <v>0</v>
      </c>
      <c r="CC15" s="113">
        <f t="shared" si="1"/>
        <v>0</v>
      </c>
      <c r="CD15" s="113">
        <f t="shared" si="1"/>
        <v>0</v>
      </c>
      <c r="CE15" s="113">
        <f t="shared" si="1"/>
        <v>0</v>
      </c>
      <c r="CF15" s="113">
        <f t="shared" si="1"/>
        <v>0</v>
      </c>
      <c r="CG15" s="113"/>
    </row>
    <row r="16" spans="1:85" s="129" customFormat="1" x14ac:dyDescent="0.25">
      <c r="A16" s="18" t="s">
        <v>81</v>
      </c>
      <c r="B16" s="9" t="s">
        <v>36</v>
      </c>
      <c r="C16" s="114"/>
      <c r="D16" s="114"/>
      <c r="E16" s="115"/>
      <c r="F16" s="115"/>
      <c r="G16" s="114"/>
      <c r="H16" s="114">
        <f>H17+H36+H71</f>
        <v>68.744070863333334</v>
      </c>
      <c r="I16" s="114">
        <f t="shared" ref="I16:BT16" si="2">I17+I36+I71</f>
        <v>68.744070863333334</v>
      </c>
      <c r="J16" s="114" t="s">
        <v>121</v>
      </c>
      <c r="K16" s="114">
        <f t="shared" si="2"/>
        <v>0</v>
      </c>
      <c r="L16" s="114">
        <f t="shared" si="2"/>
        <v>0</v>
      </c>
      <c r="M16" s="114">
        <v>0</v>
      </c>
      <c r="N16" s="114">
        <f t="shared" si="2"/>
        <v>0</v>
      </c>
      <c r="O16" s="114">
        <f t="shared" si="2"/>
        <v>0</v>
      </c>
      <c r="P16" s="114">
        <f t="shared" si="2"/>
        <v>68.744070863333334</v>
      </c>
      <c r="Q16" s="114">
        <f t="shared" si="2"/>
        <v>79.970077081893706</v>
      </c>
      <c r="R16" s="114">
        <f t="shared" si="2"/>
        <v>0</v>
      </c>
      <c r="S16" s="114">
        <f t="shared" si="2"/>
        <v>0</v>
      </c>
      <c r="T16" s="114">
        <f t="shared" si="2"/>
        <v>79.970077081893706</v>
      </c>
      <c r="U16" s="114">
        <f t="shared" si="2"/>
        <v>0</v>
      </c>
      <c r="V16" s="114">
        <f t="shared" si="2"/>
        <v>0</v>
      </c>
      <c r="W16" s="114">
        <f t="shared" si="2"/>
        <v>0</v>
      </c>
      <c r="X16" s="114">
        <f t="shared" si="2"/>
        <v>0</v>
      </c>
      <c r="Y16" s="114">
        <f t="shared" si="2"/>
        <v>9.722202728000001</v>
      </c>
      <c r="Z16" s="114">
        <f t="shared" si="2"/>
        <v>0</v>
      </c>
      <c r="AA16" s="114">
        <f t="shared" si="2"/>
        <v>0</v>
      </c>
      <c r="AB16" s="114">
        <f t="shared" si="2"/>
        <v>8.1010000000000009</v>
      </c>
      <c r="AC16" s="114">
        <f t="shared" si="2"/>
        <v>1.621</v>
      </c>
      <c r="AD16" s="114">
        <f t="shared" si="2"/>
        <v>0</v>
      </c>
      <c r="AE16" s="114">
        <f t="shared" si="2"/>
        <v>0</v>
      </c>
      <c r="AF16" s="114">
        <f t="shared" si="2"/>
        <v>0</v>
      </c>
      <c r="AG16" s="114">
        <f t="shared" si="2"/>
        <v>0</v>
      </c>
      <c r="AH16" s="114">
        <f t="shared" si="2"/>
        <v>0</v>
      </c>
      <c r="AI16" s="114">
        <f t="shared" si="2"/>
        <v>15.404154241032</v>
      </c>
      <c r="AJ16" s="114">
        <f t="shared" si="2"/>
        <v>0</v>
      </c>
      <c r="AK16" s="114">
        <f t="shared" si="2"/>
        <v>1.1138842069840011</v>
      </c>
      <c r="AL16" s="114">
        <f t="shared" si="2"/>
        <v>8.4819999999999993</v>
      </c>
      <c r="AM16" s="114">
        <f t="shared" si="2"/>
        <v>5.8079999999999998</v>
      </c>
      <c r="AN16" s="114">
        <f t="shared" si="2"/>
        <v>0</v>
      </c>
      <c r="AO16" s="114">
        <f t="shared" si="2"/>
        <v>0</v>
      </c>
      <c r="AP16" s="114">
        <f t="shared" si="2"/>
        <v>0</v>
      </c>
      <c r="AQ16" s="114">
        <f t="shared" si="2"/>
        <v>0</v>
      </c>
      <c r="AR16" s="114">
        <f t="shared" si="2"/>
        <v>0</v>
      </c>
      <c r="AS16" s="114">
        <f t="shared" si="2"/>
        <v>14.191133293534223</v>
      </c>
      <c r="AT16" s="114">
        <f t="shared" si="2"/>
        <v>0</v>
      </c>
      <c r="AU16" s="114">
        <f t="shared" si="2"/>
        <v>0</v>
      </c>
      <c r="AV16" s="114">
        <f t="shared" si="2"/>
        <v>8.879999999999999</v>
      </c>
      <c r="AW16" s="114">
        <f t="shared" si="2"/>
        <v>5.31</v>
      </c>
      <c r="AX16" s="114">
        <f t="shared" si="2"/>
        <v>0</v>
      </c>
      <c r="AY16" s="114">
        <f t="shared" si="2"/>
        <v>0</v>
      </c>
      <c r="AZ16" s="114">
        <f t="shared" si="2"/>
        <v>0</v>
      </c>
      <c r="BA16" s="114">
        <f t="shared" si="2"/>
        <v>0</v>
      </c>
      <c r="BB16" s="114">
        <f t="shared" si="2"/>
        <v>0</v>
      </c>
      <c r="BC16" s="114">
        <f t="shared" si="2"/>
        <v>21.305953060051124</v>
      </c>
      <c r="BD16" s="114">
        <f t="shared" si="2"/>
        <v>0</v>
      </c>
      <c r="BE16" s="114">
        <f t="shared" si="2"/>
        <v>0</v>
      </c>
      <c r="BF16" s="114">
        <f t="shared" si="2"/>
        <v>9.298</v>
      </c>
      <c r="BG16" s="114">
        <f t="shared" si="2"/>
        <v>4.5750000000000002</v>
      </c>
      <c r="BH16" s="114">
        <f t="shared" si="2"/>
        <v>0</v>
      </c>
      <c r="BI16" s="114">
        <f t="shared" si="2"/>
        <v>0</v>
      </c>
      <c r="BJ16" s="114">
        <f t="shared" si="2"/>
        <v>0</v>
      </c>
      <c r="BK16" s="114">
        <f t="shared" si="2"/>
        <v>0</v>
      </c>
      <c r="BL16" s="114">
        <f t="shared" si="2"/>
        <v>0</v>
      </c>
      <c r="BM16" s="114">
        <f t="shared" si="2"/>
        <v>19.346633759276351</v>
      </c>
      <c r="BN16" s="114">
        <f t="shared" si="2"/>
        <v>0</v>
      </c>
      <c r="BO16" s="114">
        <f t="shared" si="2"/>
        <v>2.9469948515348277</v>
      </c>
      <c r="BP16" s="114">
        <f t="shared" si="2"/>
        <v>9.7349999999999994</v>
      </c>
      <c r="BQ16" s="114">
        <f t="shared" si="2"/>
        <v>6.665</v>
      </c>
      <c r="BR16" s="114">
        <f t="shared" si="2"/>
        <v>0</v>
      </c>
      <c r="BS16" s="114">
        <f t="shared" si="2"/>
        <v>0</v>
      </c>
      <c r="BT16" s="114">
        <f t="shared" si="2"/>
        <v>0</v>
      </c>
      <c r="BU16" s="114">
        <f t="shared" ref="BU16:CF16" si="3">BU17+BU36+BU71</f>
        <v>0</v>
      </c>
      <c r="BV16" s="114">
        <f t="shared" si="3"/>
        <v>0</v>
      </c>
      <c r="BW16" s="114">
        <f t="shared" si="3"/>
        <v>79.970077081893706</v>
      </c>
      <c r="BX16" s="114">
        <f t="shared" si="3"/>
        <v>0</v>
      </c>
      <c r="BY16" s="114">
        <f t="shared" si="3"/>
        <v>4.0608790585188288</v>
      </c>
      <c r="BZ16" s="114">
        <f t="shared" si="3"/>
        <v>44.496000000000002</v>
      </c>
      <c r="CA16" s="114">
        <f t="shared" si="3"/>
        <v>23.978999999999999</v>
      </c>
      <c r="CB16" s="114">
        <f t="shared" si="3"/>
        <v>0</v>
      </c>
      <c r="CC16" s="114">
        <f t="shared" si="3"/>
        <v>0</v>
      </c>
      <c r="CD16" s="114">
        <f t="shared" si="3"/>
        <v>0</v>
      </c>
      <c r="CE16" s="114">
        <f t="shared" si="3"/>
        <v>0</v>
      </c>
      <c r="CF16" s="114">
        <f t="shared" si="3"/>
        <v>0</v>
      </c>
      <c r="CG16" s="114"/>
    </row>
    <row r="17" spans="1:85" s="128" customFormat="1" x14ac:dyDescent="0.25">
      <c r="A17" s="20" t="s">
        <v>37</v>
      </c>
      <c r="B17" s="64" t="s">
        <v>38</v>
      </c>
      <c r="C17" s="113"/>
      <c r="D17" s="113"/>
      <c r="E17" s="117"/>
      <c r="F17" s="117"/>
      <c r="G17" s="113"/>
      <c r="H17" s="113">
        <f t="shared" ref="H17:L17" si="4">H34</f>
        <v>0</v>
      </c>
      <c r="I17" s="113">
        <f t="shared" si="4"/>
        <v>0</v>
      </c>
      <c r="J17" s="118" t="s">
        <v>121</v>
      </c>
      <c r="K17" s="113">
        <f t="shared" si="4"/>
        <v>0</v>
      </c>
      <c r="L17" s="113">
        <f t="shared" si="4"/>
        <v>0</v>
      </c>
      <c r="M17" s="118" t="s">
        <v>121</v>
      </c>
      <c r="N17" s="113">
        <v>0</v>
      </c>
      <c r="O17" s="113">
        <v>0</v>
      </c>
      <c r="P17" s="113">
        <f>P34</f>
        <v>0</v>
      </c>
      <c r="Q17" s="113">
        <f t="shared" ref="Q17:U17" si="5">Q34</f>
        <v>0</v>
      </c>
      <c r="R17" s="113">
        <f t="shared" si="5"/>
        <v>0</v>
      </c>
      <c r="S17" s="113">
        <f t="shared" si="5"/>
        <v>0</v>
      </c>
      <c r="T17" s="113">
        <f t="shared" si="5"/>
        <v>0</v>
      </c>
      <c r="U17" s="113">
        <f t="shared" si="5"/>
        <v>0</v>
      </c>
      <c r="V17" s="113">
        <v>0</v>
      </c>
      <c r="W17" s="113">
        <v>0</v>
      </c>
      <c r="X17" s="113">
        <v>0</v>
      </c>
      <c r="Y17" s="113">
        <f t="shared" ref="Y17:BB17" si="6">Y34</f>
        <v>0</v>
      </c>
      <c r="Z17" s="113">
        <f t="shared" si="6"/>
        <v>0</v>
      </c>
      <c r="AA17" s="113">
        <f t="shared" si="6"/>
        <v>0</v>
      </c>
      <c r="AB17" s="113">
        <f t="shared" si="6"/>
        <v>0</v>
      </c>
      <c r="AC17" s="113">
        <f t="shared" si="6"/>
        <v>0</v>
      </c>
      <c r="AD17" s="113">
        <f t="shared" si="6"/>
        <v>0</v>
      </c>
      <c r="AE17" s="113">
        <f t="shared" si="6"/>
        <v>0</v>
      </c>
      <c r="AF17" s="113">
        <f t="shared" si="6"/>
        <v>0</v>
      </c>
      <c r="AG17" s="113">
        <f t="shared" si="6"/>
        <v>0</v>
      </c>
      <c r="AH17" s="113">
        <f t="shared" si="6"/>
        <v>0</v>
      </c>
      <c r="AI17" s="113">
        <f t="shared" si="6"/>
        <v>0</v>
      </c>
      <c r="AJ17" s="113">
        <f t="shared" si="6"/>
        <v>0</v>
      </c>
      <c r="AK17" s="113">
        <f t="shared" si="6"/>
        <v>0</v>
      </c>
      <c r="AL17" s="113">
        <f t="shared" si="6"/>
        <v>0</v>
      </c>
      <c r="AM17" s="113">
        <f t="shared" si="6"/>
        <v>0</v>
      </c>
      <c r="AN17" s="113">
        <f t="shared" si="6"/>
        <v>0</v>
      </c>
      <c r="AO17" s="113">
        <f t="shared" si="6"/>
        <v>0</v>
      </c>
      <c r="AP17" s="113">
        <f t="shared" si="6"/>
        <v>0</v>
      </c>
      <c r="AQ17" s="113">
        <f t="shared" si="6"/>
        <v>0</v>
      </c>
      <c r="AR17" s="113">
        <f t="shared" si="6"/>
        <v>0</v>
      </c>
      <c r="AS17" s="113">
        <f t="shared" si="6"/>
        <v>0</v>
      </c>
      <c r="AT17" s="113">
        <f t="shared" si="6"/>
        <v>0</v>
      </c>
      <c r="AU17" s="113">
        <f t="shared" si="6"/>
        <v>0</v>
      </c>
      <c r="AV17" s="113">
        <f t="shared" si="6"/>
        <v>0</v>
      </c>
      <c r="AW17" s="113">
        <f t="shared" si="6"/>
        <v>0</v>
      </c>
      <c r="AX17" s="113">
        <f t="shared" si="6"/>
        <v>0</v>
      </c>
      <c r="AY17" s="113">
        <f t="shared" si="6"/>
        <v>0</v>
      </c>
      <c r="AZ17" s="113">
        <f t="shared" si="6"/>
        <v>0</v>
      </c>
      <c r="BA17" s="113">
        <f t="shared" si="6"/>
        <v>0</v>
      </c>
      <c r="BB17" s="113">
        <f t="shared" si="6"/>
        <v>0</v>
      </c>
      <c r="BC17" s="113">
        <f t="shared" ref="BC17:BL17" si="7">BC34</f>
        <v>0</v>
      </c>
      <c r="BD17" s="113">
        <f t="shared" si="7"/>
        <v>0</v>
      </c>
      <c r="BE17" s="113">
        <f t="shared" si="7"/>
        <v>0</v>
      </c>
      <c r="BF17" s="113">
        <f t="shared" si="7"/>
        <v>0</v>
      </c>
      <c r="BG17" s="113">
        <f t="shared" si="7"/>
        <v>0</v>
      </c>
      <c r="BH17" s="113">
        <f t="shared" si="7"/>
        <v>0</v>
      </c>
      <c r="BI17" s="113">
        <f t="shared" si="7"/>
        <v>0</v>
      </c>
      <c r="BJ17" s="113">
        <f t="shared" si="7"/>
        <v>0</v>
      </c>
      <c r="BK17" s="113">
        <f t="shared" si="7"/>
        <v>0</v>
      </c>
      <c r="BL17" s="113">
        <f t="shared" si="7"/>
        <v>0</v>
      </c>
      <c r="BM17" s="113">
        <f t="shared" ref="BM17:BV17" si="8">BM34</f>
        <v>0</v>
      </c>
      <c r="BN17" s="113">
        <f t="shared" si="8"/>
        <v>0</v>
      </c>
      <c r="BO17" s="113">
        <f t="shared" si="8"/>
        <v>0</v>
      </c>
      <c r="BP17" s="113">
        <f t="shared" si="8"/>
        <v>0</v>
      </c>
      <c r="BQ17" s="113">
        <f t="shared" si="8"/>
        <v>0</v>
      </c>
      <c r="BR17" s="113">
        <f t="shared" si="8"/>
        <v>0</v>
      </c>
      <c r="BS17" s="113">
        <f t="shared" si="8"/>
        <v>0</v>
      </c>
      <c r="BT17" s="113">
        <f t="shared" si="8"/>
        <v>0</v>
      </c>
      <c r="BU17" s="113">
        <f t="shared" si="8"/>
        <v>0</v>
      </c>
      <c r="BV17" s="113">
        <f t="shared" si="8"/>
        <v>0</v>
      </c>
      <c r="BW17" s="113">
        <f t="shared" ref="BW17:CF17" si="9">BW34</f>
        <v>0</v>
      </c>
      <c r="BX17" s="113">
        <f t="shared" si="9"/>
        <v>0</v>
      </c>
      <c r="BY17" s="113">
        <f t="shared" si="9"/>
        <v>0</v>
      </c>
      <c r="BZ17" s="113">
        <f t="shared" si="9"/>
        <v>0</v>
      </c>
      <c r="CA17" s="113">
        <f t="shared" si="9"/>
        <v>0</v>
      </c>
      <c r="CB17" s="113">
        <f t="shared" si="9"/>
        <v>0</v>
      </c>
      <c r="CC17" s="113">
        <f t="shared" si="9"/>
        <v>0</v>
      </c>
      <c r="CD17" s="113">
        <f t="shared" si="9"/>
        <v>0</v>
      </c>
      <c r="CE17" s="113">
        <f t="shared" si="9"/>
        <v>0</v>
      </c>
      <c r="CF17" s="113">
        <f t="shared" si="9"/>
        <v>0</v>
      </c>
      <c r="CG17" s="113"/>
    </row>
    <row r="18" spans="1:85" s="131" customFormat="1" ht="31.5" hidden="1" outlineLevel="1" x14ac:dyDescent="0.25">
      <c r="A18" s="29" t="s">
        <v>82</v>
      </c>
      <c r="B18" s="10" t="s">
        <v>83</v>
      </c>
      <c r="C18" s="119"/>
      <c r="D18" s="119"/>
      <c r="E18" s="120"/>
      <c r="F18" s="120"/>
      <c r="G18" s="119"/>
      <c r="H18" s="119"/>
      <c r="I18" s="119"/>
      <c r="J18" s="121"/>
      <c r="K18" s="119"/>
      <c r="L18" s="119"/>
      <c r="M18" s="121"/>
      <c r="N18" s="119"/>
      <c r="O18" s="119"/>
      <c r="P18" s="119"/>
      <c r="Q18" s="119"/>
      <c r="R18" s="119"/>
      <c r="S18" s="119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</row>
    <row r="19" spans="1:85" s="129" customFormat="1" ht="47.25" hidden="1" outlineLevel="1" x14ac:dyDescent="0.25">
      <c r="A19" s="18" t="s">
        <v>84</v>
      </c>
      <c r="B19" s="9" t="s">
        <v>85</v>
      </c>
      <c r="C19" s="114"/>
      <c r="D19" s="114"/>
      <c r="E19" s="115"/>
      <c r="F19" s="115"/>
      <c r="G19" s="114"/>
      <c r="H19" s="114"/>
      <c r="I19" s="114"/>
      <c r="J19" s="116"/>
      <c r="K19" s="114"/>
      <c r="L19" s="114"/>
      <c r="M19" s="116"/>
      <c r="N19" s="114"/>
      <c r="O19" s="114"/>
      <c r="P19" s="114"/>
      <c r="Q19" s="114"/>
      <c r="R19" s="114"/>
      <c r="S19" s="114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</row>
    <row r="20" spans="1:85" s="129" customFormat="1" ht="47.25" hidden="1" outlineLevel="1" x14ac:dyDescent="0.25">
      <c r="A20" s="18" t="s">
        <v>86</v>
      </c>
      <c r="B20" s="9" t="s">
        <v>87</v>
      </c>
      <c r="C20" s="114"/>
      <c r="D20" s="114"/>
      <c r="E20" s="115"/>
      <c r="F20" s="115"/>
      <c r="G20" s="114"/>
      <c r="H20" s="114"/>
      <c r="I20" s="114"/>
      <c r="J20" s="116"/>
      <c r="K20" s="114"/>
      <c r="L20" s="114"/>
      <c r="M20" s="116"/>
      <c r="N20" s="114"/>
      <c r="O20" s="114"/>
      <c r="P20" s="114"/>
      <c r="Q20" s="114"/>
      <c r="R20" s="114"/>
      <c r="S20" s="114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</row>
    <row r="21" spans="1:85" s="129" customFormat="1" ht="31.5" hidden="1" outlineLevel="1" x14ac:dyDescent="0.25">
      <c r="A21" s="18" t="s">
        <v>88</v>
      </c>
      <c r="B21" s="9" t="s">
        <v>89</v>
      </c>
      <c r="C21" s="114"/>
      <c r="D21" s="114"/>
      <c r="E21" s="115"/>
      <c r="F21" s="115"/>
      <c r="G21" s="114"/>
      <c r="H21" s="114"/>
      <c r="I21" s="114"/>
      <c r="J21" s="116"/>
      <c r="K21" s="114"/>
      <c r="L21" s="114"/>
      <c r="M21" s="116"/>
      <c r="N21" s="114"/>
      <c r="O21" s="114"/>
      <c r="P21" s="114"/>
      <c r="Q21" s="114"/>
      <c r="R21" s="114"/>
      <c r="S21" s="114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</row>
    <row r="22" spans="1:85" s="131" customFormat="1" ht="31.5" hidden="1" outlineLevel="1" x14ac:dyDescent="0.25">
      <c r="A22" s="29" t="s">
        <v>90</v>
      </c>
      <c r="B22" s="10" t="s">
        <v>91</v>
      </c>
      <c r="C22" s="119"/>
      <c r="D22" s="119"/>
      <c r="E22" s="120"/>
      <c r="F22" s="120"/>
      <c r="G22" s="119"/>
      <c r="H22" s="119"/>
      <c r="I22" s="119"/>
      <c r="J22" s="121"/>
      <c r="K22" s="119"/>
      <c r="L22" s="119"/>
      <c r="M22" s="121"/>
      <c r="N22" s="119"/>
      <c r="O22" s="119"/>
      <c r="P22" s="119"/>
      <c r="Q22" s="119"/>
      <c r="R22" s="119"/>
      <c r="S22" s="119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5" s="129" customFormat="1" ht="47.25" hidden="1" outlineLevel="1" x14ac:dyDescent="0.25">
      <c r="A23" s="18" t="s">
        <v>92</v>
      </c>
      <c r="B23" s="9" t="s">
        <v>93</v>
      </c>
      <c r="C23" s="114"/>
      <c r="D23" s="114"/>
      <c r="E23" s="115"/>
      <c r="F23" s="115"/>
      <c r="G23" s="114"/>
      <c r="H23" s="114"/>
      <c r="I23" s="114"/>
      <c r="J23" s="116"/>
      <c r="K23" s="114"/>
      <c r="L23" s="114"/>
      <c r="M23" s="116"/>
      <c r="N23" s="114"/>
      <c r="O23" s="114"/>
      <c r="P23" s="114"/>
      <c r="Q23" s="114"/>
      <c r="R23" s="114"/>
      <c r="S23" s="114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</row>
    <row r="24" spans="1:85" s="129" customFormat="1" ht="31.5" hidden="1" outlineLevel="1" x14ac:dyDescent="0.25">
      <c r="A24" s="18" t="s">
        <v>94</v>
      </c>
      <c r="B24" s="9" t="s">
        <v>95</v>
      </c>
      <c r="C24" s="114"/>
      <c r="D24" s="114"/>
      <c r="E24" s="115"/>
      <c r="F24" s="115"/>
      <c r="G24" s="114"/>
      <c r="H24" s="114"/>
      <c r="I24" s="114"/>
      <c r="J24" s="116"/>
      <c r="K24" s="114"/>
      <c r="L24" s="114"/>
      <c r="M24" s="116"/>
      <c r="N24" s="114"/>
      <c r="O24" s="114"/>
      <c r="P24" s="114"/>
      <c r="Q24" s="114"/>
      <c r="R24" s="114"/>
      <c r="S24" s="114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</row>
    <row r="25" spans="1:85" s="131" customFormat="1" ht="31.5" hidden="1" outlineLevel="1" x14ac:dyDescent="0.25">
      <c r="A25" s="29" t="s">
        <v>96</v>
      </c>
      <c r="B25" s="10" t="s">
        <v>97</v>
      </c>
      <c r="C25" s="119"/>
      <c r="D25" s="119"/>
      <c r="E25" s="120"/>
      <c r="F25" s="120"/>
      <c r="G25" s="119"/>
      <c r="H25" s="119"/>
      <c r="I25" s="119"/>
      <c r="J25" s="121"/>
      <c r="K25" s="119"/>
      <c r="L25" s="119"/>
      <c r="M25" s="121"/>
      <c r="N25" s="119"/>
      <c r="O25" s="119"/>
      <c r="P25" s="119"/>
      <c r="Q25" s="119"/>
      <c r="R25" s="119"/>
      <c r="S25" s="119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</row>
    <row r="26" spans="1:85" s="129" customFormat="1" ht="31.5" hidden="1" outlineLevel="1" x14ac:dyDescent="0.25">
      <c r="A26" s="18" t="s">
        <v>98</v>
      </c>
      <c r="B26" s="9" t="s">
        <v>99</v>
      </c>
      <c r="C26" s="114"/>
      <c r="D26" s="114"/>
      <c r="E26" s="115"/>
      <c r="F26" s="115"/>
      <c r="G26" s="114"/>
      <c r="H26" s="114"/>
      <c r="I26" s="114"/>
      <c r="J26" s="116"/>
      <c r="K26" s="114"/>
      <c r="L26" s="114"/>
      <c r="M26" s="116"/>
      <c r="N26" s="114"/>
      <c r="O26" s="114"/>
      <c r="P26" s="114"/>
      <c r="Q26" s="114"/>
      <c r="R26" s="114"/>
      <c r="S26" s="114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</row>
    <row r="27" spans="1:85" s="129" customFormat="1" ht="63" hidden="1" outlineLevel="1" x14ac:dyDescent="0.25">
      <c r="A27" s="18" t="s">
        <v>103</v>
      </c>
      <c r="B27" s="9" t="s">
        <v>100</v>
      </c>
      <c r="C27" s="114"/>
      <c r="D27" s="114"/>
      <c r="E27" s="115"/>
      <c r="F27" s="115"/>
      <c r="G27" s="114"/>
      <c r="H27" s="114"/>
      <c r="I27" s="114"/>
      <c r="J27" s="116"/>
      <c r="K27" s="114"/>
      <c r="L27" s="114"/>
      <c r="M27" s="116"/>
      <c r="N27" s="114"/>
      <c r="O27" s="114"/>
      <c r="P27" s="114"/>
      <c r="Q27" s="114"/>
      <c r="R27" s="114"/>
      <c r="S27" s="114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</row>
    <row r="28" spans="1:85" s="129" customFormat="1" ht="63" hidden="1" outlineLevel="1" x14ac:dyDescent="0.25">
      <c r="A28" s="18" t="s">
        <v>105</v>
      </c>
      <c r="B28" s="9" t="s">
        <v>101</v>
      </c>
      <c r="C28" s="114"/>
      <c r="D28" s="114"/>
      <c r="E28" s="115"/>
      <c r="F28" s="115"/>
      <c r="G28" s="114"/>
      <c r="H28" s="114"/>
      <c r="I28" s="114"/>
      <c r="J28" s="116"/>
      <c r="K28" s="114"/>
      <c r="L28" s="114"/>
      <c r="M28" s="116"/>
      <c r="N28" s="114"/>
      <c r="O28" s="114"/>
      <c r="P28" s="114"/>
      <c r="Q28" s="114"/>
      <c r="R28" s="114"/>
      <c r="S28" s="114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</row>
    <row r="29" spans="1:85" s="129" customFormat="1" ht="63" hidden="1" outlineLevel="1" x14ac:dyDescent="0.25">
      <c r="A29" s="18" t="s">
        <v>106</v>
      </c>
      <c r="B29" s="9" t="s">
        <v>102</v>
      </c>
      <c r="C29" s="114"/>
      <c r="D29" s="114"/>
      <c r="E29" s="115"/>
      <c r="F29" s="115"/>
      <c r="G29" s="114"/>
      <c r="H29" s="114"/>
      <c r="I29" s="114"/>
      <c r="J29" s="116"/>
      <c r="K29" s="114"/>
      <c r="L29" s="114"/>
      <c r="M29" s="116"/>
      <c r="N29" s="114"/>
      <c r="O29" s="114"/>
      <c r="P29" s="114"/>
      <c r="Q29" s="114"/>
      <c r="R29" s="114"/>
      <c r="S29" s="114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</row>
    <row r="30" spans="1:85" s="129" customFormat="1" ht="31.5" hidden="1" outlineLevel="1" x14ac:dyDescent="0.25">
      <c r="A30" s="18" t="s">
        <v>107</v>
      </c>
      <c r="B30" s="9" t="s">
        <v>99</v>
      </c>
      <c r="C30" s="114"/>
      <c r="D30" s="114"/>
      <c r="E30" s="115"/>
      <c r="F30" s="115"/>
      <c r="G30" s="114"/>
      <c r="H30" s="114"/>
      <c r="I30" s="114"/>
      <c r="J30" s="116"/>
      <c r="K30" s="114"/>
      <c r="L30" s="114"/>
      <c r="M30" s="116"/>
      <c r="N30" s="114"/>
      <c r="O30" s="114"/>
      <c r="P30" s="114"/>
      <c r="Q30" s="114"/>
      <c r="R30" s="114"/>
      <c r="S30" s="114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</row>
    <row r="31" spans="1:85" s="129" customFormat="1" ht="63" hidden="1" outlineLevel="1" x14ac:dyDescent="0.25">
      <c r="A31" s="18" t="s">
        <v>108</v>
      </c>
      <c r="B31" s="9" t="s">
        <v>100</v>
      </c>
      <c r="C31" s="114"/>
      <c r="D31" s="114"/>
      <c r="E31" s="115"/>
      <c r="F31" s="115"/>
      <c r="G31" s="114"/>
      <c r="H31" s="114"/>
      <c r="I31" s="114"/>
      <c r="J31" s="116"/>
      <c r="K31" s="114"/>
      <c r="L31" s="114"/>
      <c r="M31" s="116"/>
      <c r="N31" s="114"/>
      <c r="O31" s="114"/>
      <c r="P31" s="114"/>
      <c r="Q31" s="114"/>
      <c r="R31" s="114"/>
      <c r="S31" s="114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</row>
    <row r="32" spans="1:85" s="129" customFormat="1" ht="63" hidden="1" outlineLevel="1" x14ac:dyDescent="0.25">
      <c r="A32" s="18" t="s">
        <v>109</v>
      </c>
      <c r="B32" s="9" t="s">
        <v>101</v>
      </c>
      <c r="C32" s="114"/>
      <c r="D32" s="114"/>
      <c r="E32" s="115"/>
      <c r="F32" s="115"/>
      <c r="G32" s="114"/>
      <c r="H32" s="114"/>
      <c r="I32" s="114"/>
      <c r="J32" s="116"/>
      <c r="K32" s="114"/>
      <c r="L32" s="114"/>
      <c r="M32" s="116"/>
      <c r="N32" s="114"/>
      <c r="O32" s="114"/>
      <c r="P32" s="114"/>
      <c r="Q32" s="114"/>
      <c r="R32" s="114"/>
      <c r="S32" s="114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</row>
    <row r="33" spans="1:85" s="129" customFormat="1" ht="63" hidden="1" outlineLevel="1" x14ac:dyDescent="0.25">
      <c r="A33" s="18" t="s">
        <v>110</v>
      </c>
      <c r="B33" s="9" t="s">
        <v>104</v>
      </c>
      <c r="C33" s="114"/>
      <c r="D33" s="114"/>
      <c r="E33" s="115"/>
      <c r="F33" s="115"/>
      <c r="G33" s="114"/>
      <c r="H33" s="114"/>
      <c r="I33" s="114"/>
      <c r="J33" s="116"/>
      <c r="K33" s="114"/>
      <c r="L33" s="114"/>
      <c r="M33" s="116"/>
      <c r="N33" s="114"/>
      <c r="O33" s="114"/>
      <c r="P33" s="114"/>
      <c r="Q33" s="114"/>
      <c r="R33" s="114"/>
      <c r="S33" s="114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</row>
    <row r="34" spans="1:85" s="133" customFormat="1" ht="63" collapsed="1" x14ac:dyDescent="0.25">
      <c r="A34" s="33" t="s">
        <v>39</v>
      </c>
      <c r="B34" s="65" t="s">
        <v>40</v>
      </c>
      <c r="C34" s="122"/>
      <c r="D34" s="122"/>
      <c r="E34" s="182"/>
      <c r="F34" s="182"/>
      <c r="G34" s="122"/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0</v>
      </c>
      <c r="BB34" s="122">
        <v>0</v>
      </c>
      <c r="BC34" s="122">
        <v>0</v>
      </c>
      <c r="BD34" s="122">
        <v>0</v>
      </c>
      <c r="BE34" s="122">
        <v>0</v>
      </c>
      <c r="BF34" s="122">
        <v>0</v>
      </c>
      <c r="BG34" s="122">
        <v>0</v>
      </c>
      <c r="BH34" s="122">
        <v>0</v>
      </c>
      <c r="BI34" s="122">
        <v>0</v>
      </c>
      <c r="BJ34" s="122">
        <v>0</v>
      </c>
      <c r="BK34" s="122">
        <v>0</v>
      </c>
      <c r="BL34" s="122">
        <v>0</v>
      </c>
      <c r="BM34" s="122">
        <v>0</v>
      </c>
      <c r="BN34" s="122">
        <v>0</v>
      </c>
      <c r="BO34" s="122">
        <v>0</v>
      </c>
      <c r="BP34" s="122">
        <v>0</v>
      </c>
      <c r="BQ34" s="122">
        <v>0</v>
      </c>
      <c r="BR34" s="122">
        <v>0</v>
      </c>
      <c r="BS34" s="122">
        <v>0</v>
      </c>
      <c r="BT34" s="122">
        <v>0</v>
      </c>
      <c r="BU34" s="122">
        <v>0</v>
      </c>
      <c r="BV34" s="122">
        <v>0</v>
      </c>
      <c r="BW34" s="122">
        <v>0</v>
      </c>
      <c r="BX34" s="122">
        <v>0</v>
      </c>
      <c r="BY34" s="122">
        <v>0</v>
      </c>
      <c r="BZ34" s="122">
        <v>0</v>
      </c>
      <c r="CA34" s="122">
        <v>0</v>
      </c>
      <c r="CB34" s="122">
        <v>0</v>
      </c>
      <c r="CC34" s="122">
        <v>0</v>
      </c>
      <c r="CD34" s="122">
        <v>0</v>
      </c>
      <c r="CE34" s="122">
        <v>0</v>
      </c>
      <c r="CF34" s="122">
        <v>0</v>
      </c>
      <c r="CG34" s="122"/>
    </row>
    <row r="35" spans="1:85" s="131" customFormat="1" ht="47.25" hidden="1" x14ac:dyDescent="0.25">
      <c r="A35" s="29" t="s">
        <v>111</v>
      </c>
      <c r="B35" s="10" t="s">
        <v>41</v>
      </c>
      <c r="C35" s="119"/>
      <c r="D35" s="119"/>
      <c r="E35" s="120"/>
      <c r="F35" s="120"/>
      <c r="G35" s="119"/>
      <c r="H35" s="119"/>
      <c r="I35" s="119"/>
      <c r="J35" s="121"/>
      <c r="K35" s="119"/>
      <c r="L35" s="119"/>
      <c r="M35" s="121"/>
      <c r="N35" s="119"/>
      <c r="O35" s="119"/>
      <c r="P35" s="119"/>
      <c r="Q35" s="119"/>
      <c r="R35" s="119"/>
      <c r="S35" s="119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</row>
    <row r="36" spans="1:85" s="128" customFormat="1" ht="31.5" x14ac:dyDescent="0.25">
      <c r="A36" s="20" t="s">
        <v>42</v>
      </c>
      <c r="B36" s="64" t="s">
        <v>43</v>
      </c>
      <c r="C36" s="113"/>
      <c r="D36" s="113"/>
      <c r="E36" s="117"/>
      <c r="F36" s="117"/>
      <c r="G36" s="113"/>
      <c r="H36" s="113">
        <f>H37+H43+H50</f>
        <v>57.045987530000005</v>
      </c>
      <c r="I36" s="113">
        <f t="shared" ref="I36:BT36" si="10">I37+I43+I50</f>
        <v>57.045987530000005</v>
      </c>
      <c r="J36" s="113"/>
      <c r="K36" s="113">
        <f t="shared" si="10"/>
        <v>0</v>
      </c>
      <c r="L36" s="113">
        <f t="shared" si="10"/>
        <v>0</v>
      </c>
      <c r="M36" s="113">
        <f t="shared" si="10"/>
        <v>0</v>
      </c>
      <c r="N36" s="113">
        <f t="shared" si="10"/>
        <v>0</v>
      </c>
      <c r="O36" s="113">
        <f t="shared" si="10"/>
        <v>0</v>
      </c>
      <c r="P36" s="113">
        <f t="shared" si="10"/>
        <v>57.045987530000005</v>
      </c>
      <c r="Q36" s="113">
        <f t="shared" si="10"/>
        <v>66.255358912048791</v>
      </c>
      <c r="R36" s="113">
        <f t="shared" si="10"/>
        <v>0</v>
      </c>
      <c r="S36" s="113">
        <f t="shared" si="10"/>
        <v>0</v>
      </c>
      <c r="T36" s="113">
        <f t="shared" si="10"/>
        <v>66.255358912048791</v>
      </c>
      <c r="U36" s="113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9.722202728000001</v>
      </c>
      <c r="Z36" s="113">
        <f t="shared" si="10"/>
        <v>0</v>
      </c>
      <c r="AA36" s="113">
        <f t="shared" si="10"/>
        <v>0</v>
      </c>
      <c r="AB36" s="113">
        <f t="shared" si="10"/>
        <v>8.1010000000000009</v>
      </c>
      <c r="AC36" s="113">
        <f t="shared" si="10"/>
        <v>1.621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13">
        <f t="shared" si="10"/>
        <v>15.404154241032</v>
      </c>
      <c r="AJ36" s="113">
        <f t="shared" si="10"/>
        <v>0</v>
      </c>
      <c r="AK36" s="113">
        <f t="shared" si="10"/>
        <v>1.1138842069840011</v>
      </c>
      <c r="AL36" s="113">
        <f t="shared" si="10"/>
        <v>8.4819999999999993</v>
      </c>
      <c r="AM36" s="113">
        <f t="shared" si="10"/>
        <v>5.8079999999999998</v>
      </c>
      <c r="AN36" s="113">
        <f t="shared" si="10"/>
        <v>0</v>
      </c>
      <c r="AO36" s="113">
        <f t="shared" si="10"/>
        <v>0</v>
      </c>
      <c r="AP36" s="113">
        <f t="shared" si="10"/>
        <v>0</v>
      </c>
      <c r="AQ36" s="113">
        <f t="shared" si="10"/>
        <v>0</v>
      </c>
      <c r="AR36" s="113">
        <f t="shared" si="10"/>
        <v>0</v>
      </c>
      <c r="AS36" s="113">
        <f t="shared" si="10"/>
        <v>6.616820935972223</v>
      </c>
      <c r="AT36" s="113">
        <f t="shared" si="10"/>
        <v>0</v>
      </c>
      <c r="AU36" s="113">
        <f t="shared" si="10"/>
        <v>0</v>
      </c>
      <c r="AV36" s="113">
        <f t="shared" si="10"/>
        <v>6.6159999999999997</v>
      </c>
      <c r="AW36" s="113">
        <f t="shared" si="10"/>
        <v>0</v>
      </c>
      <c r="AX36" s="113">
        <f t="shared" si="10"/>
        <v>0</v>
      </c>
      <c r="AY36" s="113">
        <f t="shared" si="10"/>
        <v>0</v>
      </c>
      <c r="AZ36" s="113">
        <f t="shared" si="10"/>
        <v>0</v>
      </c>
      <c r="BA36" s="113">
        <f t="shared" si="10"/>
        <v>0</v>
      </c>
      <c r="BB36" s="113">
        <f t="shared" si="10"/>
        <v>0</v>
      </c>
      <c r="BC36" s="113">
        <f>BC37+BC43+BC50</f>
        <v>15.165547247768206</v>
      </c>
      <c r="BD36" s="113">
        <f t="shared" si="10"/>
        <v>0</v>
      </c>
      <c r="BE36" s="113">
        <f t="shared" si="10"/>
        <v>0</v>
      </c>
      <c r="BF36" s="113">
        <f t="shared" si="10"/>
        <v>7.7330000000000005</v>
      </c>
      <c r="BG36" s="113">
        <f t="shared" si="10"/>
        <v>0</v>
      </c>
      <c r="BH36" s="113">
        <f t="shared" si="10"/>
        <v>0</v>
      </c>
      <c r="BI36" s="113">
        <f t="shared" si="10"/>
        <v>0</v>
      </c>
      <c r="BJ36" s="113">
        <f t="shared" si="10"/>
        <v>0</v>
      </c>
      <c r="BK36" s="113">
        <f t="shared" si="10"/>
        <v>0</v>
      </c>
      <c r="BL36" s="113">
        <f t="shared" si="10"/>
        <v>0</v>
      </c>
      <c r="BM36" s="113">
        <f t="shared" si="10"/>
        <v>19.346633759276351</v>
      </c>
      <c r="BN36" s="113">
        <f t="shared" si="10"/>
        <v>0</v>
      </c>
      <c r="BO36" s="113">
        <f t="shared" si="10"/>
        <v>2.9469948515348277</v>
      </c>
      <c r="BP36" s="113">
        <f t="shared" si="10"/>
        <v>9.7349999999999994</v>
      </c>
      <c r="BQ36" s="113">
        <f t="shared" si="10"/>
        <v>6.665</v>
      </c>
      <c r="BR36" s="113">
        <f t="shared" si="10"/>
        <v>0</v>
      </c>
      <c r="BS36" s="113">
        <f t="shared" si="10"/>
        <v>0</v>
      </c>
      <c r="BT36" s="113">
        <f t="shared" si="10"/>
        <v>0</v>
      </c>
      <c r="BU36" s="113">
        <f t="shared" ref="BU36:CF36" si="11">BU37+BU43+BU50</f>
        <v>0</v>
      </c>
      <c r="BV36" s="113">
        <f t="shared" si="11"/>
        <v>0</v>
      </c>
      <c r="BW36" s="113">
        <f t="shared" si="11"/>
        <v>66.255358912048791</v>
      </c>
      <c r="BX36" s="113">
        <f t="shared" si="11"/>
        <v>0</v>
      </c>
      <c r="BY36" s="113">
        <f t="shared" si="11"/>
        <v>4.0608790585188288</v>
      </c>
      <c r="BZ36" s="113">
        <f t="shared" si="11"/>
        <v>40.667000000000002</v>
      </c>
      <c r="CA36" s="113">
        <f t="shared" si="11"/>
        <v>14.093999999999999</v>
      </c>
      <c r="CB36" s="113">
        <f t="shared" si="11"/>
        <v>0</v>
      </c>
      <c r="CC36" s="113">
        <f t="shared" si="11"/>
        <v>0</v>
      </c>
      <c r="CD36" s="113">
        <f t="shared" si="11"/>
        <v>0</v>
      </c>
      <c r="CE36" s="113">
        <f t="shared" si="11"/>
        <v>0</v>
      </c>
      <c r="CF36" s="113">
        <f t="shared" si="11"/>
        <v>0</v>
      </c>
      <c r="CG36" s="113"/>
    </row>
    <row r="37" spans="1:85" s="133" customFormat="1" ht="47.25" x14ac:dyDescent="0.25">
      <c r="A37" s="33" t="s">
        <v>79</v>
      </c>
      <c r="B37" s="65" t="s">
        <v>80</v>
      </c>
      <c r="C37" s="122"/>
      <c r="D37" s="122"/>
      <c r="E37" s="123"/>
      <c r="F37" s="123"/>
      <c r="G37" s="122"/>
      <c r="H37" s="122">
        <f>H38</f>
        <v>16.635193530000002</v>
      </c>
      <c r="I37" s="122">
        <f t="shared" ref="I37:BT37" si="12">I38</f>
        <v>16.635193530000002</v>
      </c>
      <c r="J37" s="122">
        <f t="shared" si="12"/>
        <v>0</v>
      </c>
      <c r="K37" s="122">
        <f t="shared" si="12"/>
        <v>0</v>
      </c>
      <c r="L37" s="122">
        <f t="shared" si="12"/>
        <v>0</v>
      </c>
      <c r="M37" s="122">
        <f t="shared" si="12"/>
        <v>0</v>
      </c>
      <c r="N37" s="122">
        <f t="shared" si="12"/>
        <v>0</v>
      </c>
      <c r="O37" s="122">
        <f t="shared" si="12"/>
        <v>0</v>
      </c>
      <c r="P37" s="122">
        <f t="shared" si="12"/>
        <v>16.635193530000002</v>
      </c>
      <c r="Q37" s="122">
        <f t="shared" si="12"/>
        <v>20.600288557232069</v>
      </c>
      <c r="R37" s="122">
        <f t="shared" si="12"/>
        <v>0</v>
      </c>
      <c r="S37" s="122">
        <f t="shared" si="12"/>
        <v>0</v>
      </c>
      <c r="T37" s="122">
        <f t="shared" si="12"/>
        <v>20.600288557232069</v>
      </c>
      <c r="U37" s="122">
        <f t="shared" si="12"/>
        <v>0</v>
      </c>
      <c r="V37" s="122">
        <f t="shared" si="12"/>
        <v>0</v>
      </c>
      <c r="W37" s="122">
        <f t="shared" si="12"/>
        <v>0</v>
      </c>
      <c r="X37" s="122">
        <f t="shared" si="12"/>
        <v>0</v>
      </c>
      <c r="Y37" s="122">
        <f t="shared" si="12"/>
        <v>0</v>
      </c>
      <c r="Z37" s="122">
        <f t="shared" si="12"/>
        <v>0</v>
      </c>
      <c r="AA37" s="122">
        <f t="shared" si="12"/>
        <v>0</v>
      </c>
      <c r="AB37" s="122">
        <f t="shared" si="12"/>
        <v>0</v>
      </c>
      <c r="AC37" s="122">
        <f t="shared" si="12"/>
        <v>0</v>
      </c>
      <c r="AD37" s="122">
        <f t="shared" si="12"/>
        <v>0</v>
      </c>
      <c r="AE37" s="122">
        <f t="shared" si="12"/>
        <v>0</v>
      </c>
      <c r="AF37" s="122">
        <f t="shared" si="12"/>
        <v>0</v>
      </c>
      <c r="AG37" s="122">
        <f t="shared" si="12"/>
        <v>0</v>
      </c>
      <c r="AH37" s="122">
        <f t="shared" si="12"/>
        <v>0</v>
      </c>
      <c r="AI37" s="122">
        <f t="shared" si="12"/>
        <v>0</v>
      </c>
      <c r="AJ37" s="122">
        <f t="shared" si="12"/>
        <v>0</v>
      </c>
      <c r="AK37" s="122">
        <f t="shared" si="12"/>
        <v>0</v>
      </c>
      <c r="AL37" s="122">
        <f t="shared" si="12"/>
        <v>0</v>
      </c>
      <c r="AM37" s="122">
        <f t="shared" si="12"/>
        <v>0</v>
      </c>
      <c r="AN37" s="122">
        <f t="shared" si="12"/>
        <v>0</v>
      </c>
      <c r="AO37" s="122">
        <f t="shared" si="12"/>
        <v>0</v>
      </c>
      <c r="AP37" s="122">
        <f t="shared" si="12"/>
        <v>0</v>
      </c>
      <c r="AQ37" s="122">
        <f t="shared" si="12"/>
        <v>0</v>
      </c>
      <c r="AR37" s="122">
        <f t="shared" si="12"/>
        <v>0</v>
      </c>
      <c r="AS37" s="122">
        <f t="shared" si="12"/>
        <v>0</v>
      </c>
      <c r="AT37" s="122">
        <f t="shared" si="12"/>
        <v>0</v>
      </c>
      <c r="AU37" s="122">
        <f t="shared" si="12"/>
        <v>0</v>
      </c>
      <c r="AV37" s="122">
        <f t="shared" si="12"/>
        <v>0</v>
      </c>
      <c r="AW37" s="122">
        <f t="shared" si="12"/>
        <v>0</v>
      </c>
      <c r="AX37" s="122">
        <f t="shared" si="12"/>
        <v>0</v>
      </c>
      <c r="AY37" s="122">
        <f t="shared" si="12"/>
        <v>0</v>
      </c>
      <c r="AZ37" s="122">
        <f t="shared" si="12"/>
        <v>0</v>
      </c>
      <c r="BA37" s="122">
        <f t="shared" si="12"/>
        <v>0</v>
      </c>
      <c r="BB37" s="122">
        <f t="shared" si="12"/>
        <v>0</v>
      </c>
      <c r="BC37" s="122">
        <f t="shared" si="12"/>
        <v>7.4322937056972407</v>
      </c>
      <c r="BD37" s="122">
        <f t="shared" si="12"/>
        <v>0</v>
      </c>
      <c r="BE37" s="122">
        <f t="shared" si="12"/>
        <v>0</v>
      </c>
      <c r="BF37" s="122">
        <f t="shared" si="12"/>
        <v>0</v>
      </c>
      <c r="BG37" s="122">
        <f t="shared" si="12"/>
        <v>0</v>
      </c>
      <c r="BH37" s="122">
        <f t="shared" si="12"/>
        <v>0</v>
      </c>
      <c r="BI37" s="122">
        <f t="shared" si="12"/>
        <v>0</v>
      </c>
      <c r="BJ37" s="122">
        <f t="shared" si="12"/>
        <v>0</v>
      </c>
      <c r="BK37" s="122">
        <f t="shared" si="12"/>
        <v>0</v>
      </c>
      <c r="BL37" s="122">
        <f t="shared" si="12"/>
        <v>0</v>
      </c>
      <c r="BM37" s="122">
        <f t="shared" si="12"/>
        <v>13.167994851534827</v>
      </c>
      <c r="BN37" s="122">
        <f t="shared" si="12"/>
        <v>0</v>
      </c>
      <c r="BO37" s="122">
        <f t="shared" si="12"/>
        <v>2.9469948515348277</v>
      </c>
      <c r="BP37" s="122">
        <f t="shared" si="12"/>
        <v>3.556</v>
      </c>
      <c r="BQ37" s="122">
        <f t="shared" si="12"/>
        <v>6.665</v>
      </c>
      <c r="BR37" s="122">
        <f t="shared" si="12"/>
        <v>0</v>
      </c>
      <c r="BS37" s="122">
        <f t="shared" si="12"/>
        <v>0</v>
      </c>
      <c r="BT37" s="122">
        <f t="shared" si="12"/>
        <v>0</v>
      </c>
      <c r="BU37" s="122">
        <f t="shared" ref="BU37:CF37" si="13">BU38</f>
        <v>0</v>
      </c>
      <c r="BV37" s="122">
        <f t="shared" si="13"/>
        <v>0</v>
      </c>
      <c r="BW37" s="122">
        <f t="shared" si="13"/>
        <v>20.600288557232069</v>
      </c>
      <c r="BX37" s="122">
        <f t="shared" si="13"/>
        <v>0</v>
      </c>
      <c r="BY37" s="122">
        <f t="shared" si="13"/>
        <v>2.9469948515348277</v>
      </c>
      <c r="BZ37" s="122">
        <f t="shared" si="13"/>
        <v>3.556</v>
      </c>
      <c r="CA37" s="122">
        <f t="shared" si="13"/>
        <v>6.665</v>
      </c>
      <c r="CB37" s="122">
        <f t="shared" si="13"/>
        <v>0</v>
      </c>
      <c r="CC37" s="122">
        <f t="shared" si="13"/>
        <v>0</v>
      </c>
      <c r="CD37" s="122">
        <f t="shared" si="13"/>
        <v>0</v>
      </c>
      <c r="CE37" s="122">
        <f t="shared" si="13"/>
        <v>0</v>
      </c>
      <c r="CF37" s="122">
        <f t="shared" si="13"/>
        <v>0</v>
      </c>
      <c r="CG37" s="122"/>
    </row>
    <row r="38" spans="1:85" s="356" customFormat="1" ht="31.5" x14ac:dyDescent="0.25">
      <c r="A38" s="14" t="s">
        <v>44</v>
      </c>
      <c r="B38" s="11" t="s">
        <v>45</v>
      </c>
      <c r="C38" s="127"/>
      <c r="D38" s="127"/>
      <c r="E38" s="350"/>
      <c r="F38" s="350"/>
      <c r="G38" s="127"/>
      <c r="H38" s="127">
        <f>SUM(H39:H41)</f>
        <v>16.635193530000002</v>
      </c>
      <c r="I38" s="127">
        <f t="shared" ref="I38:P38" si="14">SUM(I39:I41)</f>
        <v>16.635193530000002</v>
      </c>
      <c r="J38" s="127"/>
      <c r="K38" s="127">
        <f t="shared" si="14"/>
        <v>0</v>
      </c>
      <c r="L38" s="127">
        <f t="shared" si="14"/>
        <v>0</v>
      </c>
      <c r="M38" s="127">
        <f t="shared" si="14"/>
        <v>0</v>
      </c>
      <c r="N38" s="127">
        <f t="shared" si="14"/>
        <v>0</v>
      </c>
      <c r="O38" s="127">
        <f t="shared" si="14"/>
        <v>0</v>
      </c>
      <c r="P38" s="127">
        <f t="shared" si="14"/>
        <v>16.635193530000002</v>
      </c>
      <c r="Q38" s="127">
        <f t="shared" ref="Q38" si="15">SUM(Q39:Q41)</f>
        <v>20.600288557232069</v>
      </c>
      <c r="R38" s="127">
        <f t="shared" ref="R38" si="16">SUM(R39:R41)</f>
        <v>0</v>
      </c>
      <c r="S38" s="127">
        <f t="shared" ref="S38" si="17">SUM(S39:S41)</f>
        <v>0</v>
      </c>
      <c r="T38" s="127">
        <f t="shared" ref="T38" si="18">SUM(T39:T41)</f>
        <v>20.600288557232069</v>
      </c>
      <c r="U38" s="127">
        <f t="shared" ref="U38" si="19">SUM(U39:U41)</f>
        <v>0</v>
      </c>
      <c r="V38" s="127">
        <f t="shared" ref="V38" si="20">SUM(V39:V41)</f>
        <v>0</v>
      </c>
      <c r="W38" s="127">
        <f t="shared" ref="W38" si="21">SUM(W39:W41)</f>
        <v>0</v>
      </c>
      <c r="X38" s="127">
        <f t="shared" ref="X38" si="22">SUM(X39:X41)</f>
        <v>0</v>
      </c>
      <c r="Y38" s="127">
        <f t="shared" ref="Y38" si="23">SUM(Y39:Y41)</f>
        <v>0</v>
      </c>
      <c r="Z38" s="127">
        <f t="shared" ref="Z38" si="24">SUM(Z39:Z41)</f>
        <v>0</v>
      </c>
      <c r="AA38" s="127">
        <f t="shared" ref="AA38" si="25">SUM(AA39:AA41)</f>
        <v>0</v>
      </c>
      <c r="AB38" s="127">
        <f t="shared" ref="AB38" si="26">SUM(AB39:AB41)</f>
        <v>0</v>
      </c>
      <c r="AC38" s="127">
        <f t="shared" ref="AC38" si="27">SUM(AC39:AC41)</f>
        <v>0</v>
      </c>
      <c r="AD38" s="127">
        <f t="shared" ref="AD38" si="28">SUM(AD39:AD41)</f>
        <v>0</v>
      </c>
      <c r="AE38" s="127">
        <f t="shared" ref="AE38" si="29">SUM(AE39:AE41)</f>
        <v>0</v>
      </c>
      <c r="AF38" s="127">
        <f t="shared" ref="AF38" si="30">SUM(AF39:AF41)</f>
        <v>0</v>
      </c>
      <c r="AG38" s="127">
        <f t="shared" ref="AG38" si="31">SUM(AG39:AG41)</f>
        <v>0</v>
      </c>
      <c r="AH38" s="127">
        <f t="shared" ref="AH38" si="32">SUM(AH39:AH41)</f>
        <v>0</v>
      </c>
      <c r="AI38" s="127">
        <f t="shared" ref="AI38" si="33">SUM(AI39:AI41)</f>
        <v>0</v>
      </c>
      <c r="AJ38" s="127">
        <f t="shared" ref="AJ38" si="34">SUM(AJ39:AJ41)</f>
        <v>0</v>
      </c>
      <c r="AK38" s="127">
        <f t="shared" ref="AK38" si="35">SUM(AK39:AK41)</f>
        <v>0</v>
      </c>
      <c r="AL38" s="127">
        <f t="shared" ref="AL38" si="36">SUM(AL39:AL41)</f>
        <v>0</v>
      </c>
      <c r="AM38" s="127">
        <f t="shared" ref="AM38" si="37">SUM(AM39:AM41)</f>
        <v>0</v>
      </c>
      <c r="AN38" s="127">
        <f t="shared" ref="AN38" si="38">SUM(AN39:AN41)</f>
        <v>0</v>
      </c>
      <c r="AO38" s="127">
        <f t="shared" ref="AO38" si="39">SUM(AO39:AO41)</f>
        <v>0</v>
      </c>
      <c r="AP38" s="127">
        <f t="shared" ref="AP38" si="40">SUM(AP39:AP41)</f>
        <v>0</v>
      </c>
      <c r="AQ38" s="127">
        <f t="shared" ref="AQ38" si="41">SUM(AQ39:AQ41)</f>
        <v>0</v>
      </c>
      <c r="AR38" s="127">
        <f t="shared" ref="AR38" si="42">SUM(AR39:AR41)</f>
        <v>0</v>
      </c>
      <c r="AS38" s="127">
        <f t="shared" ref="AS38" si="43">SUM(AS39:AS41)</f>
        <v>0</v>
      </c>
      <c r="AT38" s="127">
        <f t="shared" ref="AT38" si="44">SUM(AT39:AT41)</f>
        <v>0</v>
      </c>
      <c r="AU38" s="127">
        <f t="shared" ref="AU38" si="45">SUM(AU39:AU41)</f>
        <v>0</v>
      </c>
      <c r="AV38" s="127">
        <f t="shared" ref="AV38" si="46">SUM(AV39:AV41)</f>
        <v>0</v>
      </c>
      <c r="AW38" s="127">
        <f t="shared" ref="AW38" si="47">SUM(AW39:AW41)</f>
        <v>0</v>
      </c>
      <c r="AX38" s="127">
        <f t="shared" ref="AX38" si="48">SUM(AX39:AX41)</f>
        <v>0</v>
      </c>
      <c r="AY38" s="127">
        <f t="shared" ref="AY38" si="49">SUM(AY39:AY41)</f>
        <v>0</v>
      </c>
      <c r="AZ38" s="127">
        <f t="shared" ref="AZ38" si="50">SUM(AZ39:AZ41)</f>
        <v>0</v>
      </c>
      <c r="BA38" s="127">
        <f t="shared" ref="BA38" si="51">SUM(BA39:BA41)</f>
        <v>0</v>
      </c>
      <c r="BB38" s="127">
        <f t="shared" ref="BB38" si="52">SUM(BB39:BB41)</f>
        <v>0</v>
      </c>
      <c r="BC38" s="127">
        <f t="shared" ref="BC38" si="53">SUM(BC39:BC41)</f>
        <v>7.4322937056972407</v>
      </c>
      <c r="BD38" s="127">
        <f t="shared" ref="BD38" si="54">SUM(BD39:BD41)</f>
        <v>0</v>
      </c>
      <c r="BE38" s="127">
        <f t="shared" ref="BE38" si="55">SUM(BE39:BE41)</f>
        <v>0</v>
      </c>
      <c r="BF38" s="127">
        <f t="shared" ref="BF38" si="56">SUM(BF39:BF41)</f>
        <v>0</v>
      </c>
      <c r="BG38" s="127">
        <f t="shared" ref="BG38" si="57">SUM(BG39:BG41)</f>
        <v>0</v>
      </c>
      <c r="BH38" s="127">
        <f t="shared" ref="BH38" si="58">SUM(BH39:BH41)</f>
        <v>0</v>
      </c>
      <c r="BI38" s="127">
        <f t="shared" ref="BI38" si="59">SUM(BI39:BI41)</f>
        <v>0</v>
      </c>
      <c r="BJ38" s="127">
        <f t="shared" ref="BJ38" si="60">SUM(BJ39:BJ41)</f>
        <v>0</v>
      </c>
      <c r="BK38" s="127">
        <f t="shared" ref="BK38" si="61">SUM(BK39:BK41)</f>
        <v>0</v>
      </c>
      <c r="BL38" s="127">
        <f t="shared" ref="BL38" si="62">SUM(BL39:BL41)</f>
        <v>0</v>
      </c>
      <c r="BM38" s="127">
        <f t="shared" ref="BM38" si="63">SUM(BM39:BM41)</f>
        <v>13.167994851534827</v>
      </c>
      <c r="BN38" s="127">
        <f t="shared" ref="BN38" si="64">SUM(BN39:BN41)</f>
        <v>0</v>
      </c>
      <c r="BO38" s="127">
        <f t="shared" ref="BO38" si="65">SUM(BO39:BO41)</f>
        <v>2.9469948515348277</v>
      </c>
      <c r="BP38" s="127">
        <f t="shared" ref="BP38" si="66">SUM(BP39:BP41)</f>
        <v>3.556</v>
      </c>
      <c r="BQ38" s="127">
        <f t="shared" ref="BQ38" si="67">SUM(BQ39:BQ41)</f>
        <v>6.665</v>
      </c>
      <c r="BR38" s="127">
        <f t="shared" ref="BR38" si="68">SUM(BR39:BR41)</f>
        <v>0</v>
      </c>
      <c r="BS38" s="127">
        <f t="shared" ref="BS38" si="69">SUM(BS39:BS41)</f>
        <v>0</v>
      </c>
      <c r="BT38" s="127">
        <f t="shared" ref="BT38" si="70">SUM(BT39:BT41)</f>
        <v>0</v>
      </c>
      <c r="BU38" s="127">
        <f t="shared" ref="BU38" si="71">SUM(BU39:BU41)</f>
        <v>0</v>
      </c>
      <c r="BV38" s="127">
        <f t="shared" ref="BV38" si="72">SUM(BV39:BV41)</f>
        <v>0</v>
      </c>
      <c r="BW38" s="127">
        <f t="shared" ref="BW38" si="73">SUM(BW39:BW41)</f>
        <v>20.600288557232069</v>
      </c>
      <c r="BX38" s="127">
        <f t="shared" ref="BX38" si="74">SUM(BX39:BX41)</f>
        <v>0</v>
      </c>
      <c r="BY38" s="127">
        <f t="shared" ref="BY38" si="75">SUM(BY39:BY41)</f>
        <v>2.9469948515348277</v>
      </c>
      <c r="BZ38" s="127">
        <f t="shared" ref="BZ38" si="76">SUM(BZ39:BZ41)</f>
        <v>3.556</v>
      </c>
      <c r="CA38" s="127">
        <f t="shared" ref="CA38" si="77">SUM(CA39:CA41)</f>
        <v>6.665</v>
      </c>
      <c r="CB38" s="127">
        <f t="shared" ref="CB38" si="78">SUM(CB39:CB41)</f>
        <v>0</v>
      </c>
      <c r="CC38" s="127">
        <f t="shared" ref="CC38" si="79">SUM(CC39:CC41)</f>
        <v>0</v>
      </c>
      <c r="CD38" s="127">
        <f t="shared" ref="CD38" si="80">SUM(CD39:CD41)</f>
        <v>0</v>
      </c>
      <c r="CE38" s="127">
        <f t="shared" ref="CE38" si="81">SUM(CE39:CE41)</f>
        <v>0</v>
      </c>
      <c r="CF38" s="127">
        <f t="shared" ref="CF38" si="82">SUM(CF39:CF41)</f>
        <v>0</v>
      </c>
      <c r="CG38" s="127"/>
    </row>
    <row r="39" spans="1:85" s="353" customFormat="1" x14ac:dyDescent="0.25">
      <c r="A39" s="14" t="s">
        <v>46</v>
      </c>
      <c r="B39" s="417" t="s">
        <v>735</v>
      </c>
      <c r="C39" s="390" t="s">
        <v>721</v>
      </c>
      <c r="D39" s="390" t="s">
        <v>146</v>
      </c>
      <c r="E39" s="418">
        <v>2022</v>
      </c>
      <c r="F39" s="418">
        <v>2022</v>
      </c>
      <c r="G39" s="354"/>
      <c r="H39" s="389">
        <v>0</v>
      </c>
      <c r="I39" s="389">
        <f>H39</f>
        <v>0</v>
      </c>
      <c r="J39" s="392">
        <v>44197</v>
      </c>
      <c r="K39" s="127"/>
      <c r="L39" s="127"/>
      <c r="M39" s="180"/>
      <c r="N39" s="127">
        <v>0</v>
      </c>
      <c r="O39" s="127">
        <v>0</v>
      </c>
      <c r="P39" s="389">
        <f>H39</f>
        <v>0</v>
      </c>
      <c r="Q39" s="389">
        <f>P39*Ф17!E15</f>
        <v>0</v>
      </c>
      <c r="R39" s="127">
        <f>L39</f>
        <v>0</v>
      </c>
      <c r="S39" s="127">
        <f>R39</f>
        <v>0</v>
      </c>
      <c r="T39" s="389">
        <f>Q39</f>
        <v>0</v>
      </c>
      <c r="U39" s="127">
        <f>S39</f>
        <v>0</v>
      </c>
      <c r="V39" s="127">
        <v>0</v>
      </c>
      <c r="W39" s="127">
        <v>0</v>
      </c>
      <c r="X39" s="127">
        <v>0</v>
      </c>
      <c r="Y39" s="389">
        <f>IF(E39=2022,T39,0)</f>
        <v>0</v>
      </c>
      <c r="Z39" s="127">
        <v>0</v>
      </c>
      <c r="AA39" s="127">
        <v>0</v>
      </c>
      <c r="AB39" s="389">
        <v>0</v>
      </c>
      <c r="AC39" s="389">
        <f>Y39</f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f>AD39-AG39</f>
        <v>0</v>
      </c>
      <c r="AI39" s="389">
        <f>IF(F39=2023,T39,0)</f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f>U39-AD39</f>
        <v>0</v>
      </c>
      <c r="AO39" s="127">
        <v>0</v>
      </c>
      <c r="AP39" s="127">
        <v>0</v>
      </c>
      <c r="AQ39" s="127">
        <f>AN39-AR39</f>
        <v>0</v>
      </c>
      <c r="AR39" s="127">
        <v>0</v>
      </c>
      <c r="AS39" s="389">
        <f>IF(E39=2024,T39,0)</f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389">
        <f>IF(E39=2025,T39,0)</f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389">
        <f>IF(E39=2026,T39,0)</f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389">
        <f>Y39+AI39+AS39+BC39+BM39</f>
        <v>0</v>
      </c>
      <c r="BX39" s="389">
        <f t="shared" ref="BX39:CA41" si="83">Z39+AJ39+AT39+BD39+BN39</f>
        <v>0</v>
      </c>
      <c r="BY39" s="389">
        <f t="shared" si="83"/>
        <v>0</v>
      </c>
      <c r="BZ39" s="389">
        <f t="shared" si="83"/>
        <v>0</v>
      </c>
      <c r="CA39" s="389">
        <f t="shared" si="83"/>
        <v>0</v>
      </c>
      <c r="CB39" s="127">
        <f>SUM(CC39:CF39)</f>
        <v>0</v>
      </c>
      <c r="CC39" s="127"/>
      <c r="CD39" s="127"/>
      <c r="CE39" s="127">
        <f>AG39+AQ39+BA39</f>
        <v>0</v>
      </c>
      <c r="CF39" s="127">
        <f>AH39+AR39+BB39</f>
        <v>0</v>
      </c>
      <c r="CG39" s="409"/>
    </row>
    <row r="40" spans="1:85" s="353" customFormat="1" x14ac:dyDescent="0.25">
      <c r="A40" s="14" t="s">
        <v>527</v>
      </c>
      <c r="B40" s="419" t="s">
        <v>736</v>
      </c>
      <c r="C40" s="390" t="s">
        <v>722</v>
      </c>
      <c r="D40" s="390" t="s">
        <v>146</v>
      </c>
      <c r="E40" s="420">
        <v>2025</v>
      </c>
      <c r="F40" s="420">
        <v>2025</v>
      </c>
      <c r="G40" s="354"/>
      <c r="H40" s="389">
        <v>6.1790475300000001</v>
      </c>
      <c r="I40" s="389">
        <f t="shared" ref="I40:I41" si="84">H40</f>
        <v>6.1790475300000001</v>
      </c>
      <c r="J40" s="392">
        <v>44199</v>
      </c>
      <c r="K40" s="127"/>
      <c r="L40" s="127"/>
      <c r="M40" s="180"/>
      <c r="N40" s="127"/>
      <c r="O40" s="127"/>
      <c r="P40" s="389">
        <f>H40</f>
        <v>6.1790475300000001</v>
      </c>
      <c r="Q40" s="389">
        <f>P40*Ф17!E15*Ф17!F15*Ф17!G15*Ф17!H15</f>
        <v>7.4322937056972407</v>
      </c>
      <c r="R40" s="127"/>
      <c r="S40" s="127"/>
      <c r="T40" s="389">
        <f t="shared" ref="T40" si="85">Q40</f>
        <v>7.4322937056972407</v>
      </c>
      <c r="U40" s="127"/>
      <c r="V40" s="127"/>
      <c r="W40" s="127"/>
      <c r="X40" s="127"/>
      <c r="Y40" s="389">
        <f t="shared" ref="Y40" si="86">IF(E40=2022,T40,0)</f>
        <v>0</v>
      </c>
      <c r="Z40" s="127"/>
      <c r="AA40" s="127"/>
      <c r="AB40" s="127"/>
      <c r="AC40" s="127"/>
      <c r="AD40" s="127"/>
      <c r="AE40" s="127"/>
      <c r="AF40" s="127"/>
      <c r="AG40" s="127"/>
      <c r="AH40" s="127"/>
      <c r="AI40" s="389">
        <f t="shared" ref="AI40" si="87">IF(F40=2023,T40,0)</f>
        <v>0</v>
      </c>
      <c r="AJ40" s="127"/>
      <c r="AK40" s="127"/>
      <c r="AL40" s="127"/>
      <c r="AM40" s="127"/>
      <c r="AN40" s="127"/>
      <c r="AO40" s="127"/>
      <c r="AP40" s="127"/>
      <c r="AQ40" s="127"/>
      <c r="AR40" s="127"/>
      <c r="AS40" s="389">
        <f t="shared" ref="AS40" si="88">IF(E40=2024,T40,0)</f>
        <v>0</v>
      </c>
      <c r="AT40" s="127"/>
      <c r="AU40" s="127"/>
      <c r="AV40" s="127"/>
      <c r="AW40" s="127"/>
      <c r="AX40" s="127"/>
      <c r="AY40" s="127"/>
      <c r="AZ40" s="127"/>
      <c r="BA40" s="127"/>
      <c r="BB40" s="127"/>
      <c r="BC40" s="389">
        <f t="shared" ref="BC40" si="89">IF(E40=2025,T40,0)</f>
        <v>7.4322937056972407</v>
      </c>
      <c r="BD40" s="127"/>
      <c r="BE40" s="127"/>
      <c r="BF40" s="127"/>
      <c r="BG40" s="127"/>
      <c r="BH40" s="127"/>
      <c r="BI40" s="127"/>
      <c r="BJ40" s="127"/>
      <c r="BK40" s="127"/>
      <c r="BL40" s="127"/>
      <c r="BM40" s="389">
        <f t="shared" ref="BM40" si="90">IF(E40=2026,T40,0)</f>
        <v>0</v>
      </c>
      <c r="BN40" s="127"/>
      <c r="BO40" s="127"/>
      <c r="BP40" s="127"/>
      <c r="BQ40" s="127"/>
      <c r="BR40" s="127"/>
      <c r="BS40" s="127"/>
      <c r="BT40" s="127"/>
      <c r="BU40" s="127"/>
      <c r="BV40" s="127"/>
      <c r="BW40" s="389">
        <f>Y40+AI40+AS40+BC40+BM40</f>
        <v>7.4322937056972407</v>
      </c>
      <c r="BX40" s="389">
        <f t="shared" si="83"/>
        <v>0</v>
      </c>
      <c r="BY40" s="389">
        <f t="shared" si="83"/>
        <v>0</v>
      </c>
      <c r="BZ40" s="389">
        <f t="shared" si="83"/>
        <v>0</v>
      </c>
      <c r="CA40" s="389">
        <f t="shared" si="83"/>
        <v>0</v>
      </c>
      <c r="CB40" s="127"/>
      <c r="CC40" s="127"/>
      <c r="CD40" s="127"/>
      <c r="CE40" s="127"/>
      <c r="CF40" s="127"/>
      <c r="CG40" s="410"/>
    </row>
    <row r="41" spans="1:85" s="353" customFormat="1" x14ac:dyDescent="0.25">
      <c r="A41" s="14" t="s">
        <v>700</v>
      </c>
      <c r="B41" s="419" t="s">
        <v>737</v>
      </c>
      <c r="C41" s="390" t="s">
        <v>723</v>
      </c>
      <c r="D41" s="390" t="s">
        <v>146</v>
      </c>
      <c r="E41" s="420">
        <v>2026</v>
      </c>
      <c r="F41" s="420">
        <v>2026</v>
      </c>
      <c r="G41" s="354"/>
      <c r="H41" s="389">
        <v>10.456146</v>
      </c>
      <c r="I41" s="389">
        <f t="shared" si="84"/>
        <v>10.456146</v>
      </c>
      <c r="J41" s="392">
        <v>44198</v>
      </c>
      <c r="K41" s="127"/>
      <c r="L41" s="127"/>
      <c r="M41" s="180"/>
      <c r="N41" s="127"/>
      <c r="O41" s="127"/>
      <c r="P41" s="389">
        <f>H41</f>
        <v>10.456146</v>
      </c>
      <c r="Q41" s="389">
        <f>P41*Ф17!E15*Ф17!F15*Ф17!G15*Ф17!H15*Ф17!I15</f>
        <v>13.167994851534827</v>
      </c>
      <c r="R41" s="127">
        <f>L41</f>
        <v>0</v>
      </c>
      <c r="S41" s="127">
        <f>R41</f>
        <v>0</v>
      </c>
      <c r="T41" s="389">
        <f t="shared" ref="T41" si="91">Q41</f>
        <v>13.167994851534827</v>
      </c>
      <c r="U41" s="127">
        <f>S41</f>
        <v>0</v>
      </c>
      <c r="V41" s="127"/>
      <c r="W41" s="127"/>
      <c r="X41" s="127"/>
      <c r="Y41" s="389">
        <f t="shared" ref="Y41" si="92">IF(E41=2022,T41,0)</f>
        <v>0</v>
      </c>
      <c r="Z41" s="127"/>
      <c r="AA41" s="127"/>
      <c r="AB41" s="127"/>
      <c r="AC41" s="127"/>
      <c r="AD41" s="127"/>
      <c r="AE41" s="127"/>
      <c r="AF41" s="127"/>
      <c r="AG41" s="127"/>
      <c r="AH41" s="127"/>
      <c r="AI41" s="389">
        <f>IF(F41=2023,T41,0)</f>
        <v>0</v>
      </c>
      <c r="AJ41" s="127"/>
      <c r="AK41" s="127"/>
      <c r="AL41" s="127">
        <f>AI41-AM41</f>
        <v>0</v>
      </c>
      <c r="AM41" s="127"/>
      <c r="AN41" s="127">
        <f>AQ41+AR41</f>
        <v>0</v>
      </c>
      <c r="AO41" s="127"/>
      <c r="AP41" s="127"/>
      <c r="AQ41" s="127">
        <f>U41-AR41</f>
        <v>0</v>
      </c>
      <c r="AR41" s="127">
        <v>0</v>
      </c>
      <c r="AS41" s="389">
        <f t="shared" ref="AS41" si="93">IF(E41=2024,T41,0)</f>
        <v>0</v>
      </c>
      <c r="AT41" s="127"/>
      <c r="AU41" s="127"/>
      <c r="AV41" s="127"/>
      <c r="AW41" s="127"/>
      <c r="AX41" s="127"/>
      <c r="AY41" s="127"/>
      <c r="AZ41" s="127"/>
      <c r="BA41" s="127"/>
      <c r="BB41" s="127"/>
      <c r="BC41" s="389">
        <f t="shared" ref="BC41" si="94">IF(E41=2025,T41,0)</f>
        <v>0</v>
      </c>
      <c r="BD41" s="127"/>
      <c r="BE41" s="127"/>
      <c r="BF41" s="127"/>
      <c r="BG41" s="127"/>
      <c r="BH41" s="127"/>
      <c r="BI41" s="127"/>
      <c r="BJ41" s="127"/>
      <c r="BK41" s="127"/>
      <c r="BL41" s="127"/>
      <c r="BM41" s="389">
        <f>IF(E41=2026,T41,0)</f>
        <v>13.167994851534827</v>
      </c>
      <c r="BN41" s="127"/>
      <c r="BO41" s="127">
        <f>BM41-BP41-BQ41</f>
        <v>2.9469948515348277</v>
      </c>
      <c r="BP41" s="127">
        <v>3.556</v>
      </c>
      <c r="BQ41" s="127">
        <v>6.665</v>
      </c>
      <c r="BR41" s="127"/>
      <c r="BS41" s="127"/>
      <c r="BT41" s="127"/>
      <c r="BU41" s="127"/>
      <c r="BV41" s="127"/>
      <c r="BW41" s="389">
        <f t="shared" ref="BW41" si="95">Y41+AI41+AS41+BC41+BM41</f>
        <v>13.167994851534827</v>
      </c>
      <c r="BX41" s="389">
        <f t="shared" si="83"/>
        <v>0</v>
      </c>
      <c r="BY41" s="389">
        <f t="shared" si="83"/>
        <v>2.9469948515348277</v>
      </c>
      <c r="BZ41" s="389">
        <f t="shared" si="83"/>
        <v>3.556</v>
      </c>
      <c r="CA41" s="389">
        <f t="shared" si="83"/>
        <v>6.665</v>
      </c>
      <c r="CB41" s="127">
        <f>SUM(CC41:CF41)</f>
        <v>0</v>
      </c>
      <c r="CC41" s="127"/>
      <c r="CD41" s="127"/>
      <c r="CE41" s="127">
        <f>AG41+AQ41+BA41</f>
        <v>0</v>
      </c>
      <c r="CF41" s="127">
        <f>AH41+AR41+BB41</f>
        <v>0</v>
      </c>
      <c r="CG41" s="410"/>
    </row>
    <row r="42" spans="1:85" s="134" customFormat="1" ht="31.5" x14ac:dyDescent="0.25">
      <c r="A42" s="14" t="s">
        <v>112</v>
      </c>
      <c r="B42" s="11" t="s">
        <v>113</v>
      </c>
      <c r="C42" s="124"/>
      <c r="D42" s="124"/>
      <c r="E42" s="125"/>
      <c r="F42" s="125"/>
      <c r="G42" s="124"/>
      <c r="H42" s="124"/>
      <c r="I42" s="124"/>
      <c r="J42" s="126"/>
      <c r="K42" s="124"/>
      <c r="L42" s="124"/>
      <c r="M42" s="126"/>
      <c r="N42" s="124"/>
      <c r="O42" s="124"/>
      <c r="P42" s="124"/>
      <c r="Q42" s="124"/>
      <c r="R42" s="124"/>
      <c r="S42" s="124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</row>
    <row r="43" spans="1:85" s="133" customFormat="1" ht="31.5" x14ac:dyDescent="0.25">
      <c r="A43" s="33" t="s">
        <v>47</v>
      </c>
      <c r="B43" s="65" t="s">
        <v>48</v>
      </c>
      <c r="C43" s="122"/>
      <c r="D43" s="122"/>
      <c r="E43" s="123"/>
      <c r="F43" s="123"/>
      <c r="G43" s="122"/>
      <c r="H43" s="122">
        <f>H44</f>
        <v>11.182074</v>
      </c>
      <c r="I43" s="122">
        <f t="shared" ref="I43:BT43" si="96">I44</f>
        <v>11.182074</v>
      </c>
      <c r="J43" s="122">
        <f t="shared" si="96"/>
        <v>0</v>
      </c>
      <c r="K43" s="122">
        <f t="shared" si="96"/>
        <v>0</v>
      </c>
      <c r="L43" s="122">
        <f t="shared" si="96"/>
        <v>0</v>
      </c>
      <c r="M43" s="122">
        <f t="shared" si="96"/>
        <v>0</v>
      </c>
      <c r="N43" s="122">
        <f t="shared" si="96"/>
        <v>0</v>
      </c>
      <c r="O43" s="122">
        <f t="shared" si="96"/>
        <v>0</v>
      </c>
      <c r="P43" s="122">
        <f t="shared" si="96"/>
        <v>11.182074</v>
      </c>
      <c r="Q43" s="122">
        <f t="shared" si="96"/>
        <v>12.556579092359067</v>
      </c>
      <c r="R43" s="122">
        <f t="shared" si="96"/>
        <v>0</v>
      </c>
      <c r="S43" s="122">
        <f t="shared" si="96"/>
        <v>0</v>
      </c>
      <c r="T43" s="122">
        <f t="shared" si="96"/>
        <v>12.556579092359067</v>
      </c>
      <c r="U43" s="122">
        <f t="shared" si="96"/>
        <v>0</v>
      </c>
      <c r="V43" s="122">
        <f t="shared" si="96"/>
        <v>0</v>
      </c>
      <c r="W43" s="122">
        <f t="shared" si="96"/>
        <v>0</v>
      </c>
      <c r="X43" s="122">
        <f t="shared" si="96"/>
        <v>0</v>
      </c>
      <c r="Y43" s="122">
        <f t="shared" si="96"/>
        <v>0</v>
      </c>
      <c r="Z43" s="122">
        <f t="shared" si="96"/>
        <v>0</v>
      </c>
      <c r="AA43" s="122">
        <f t="shared" si="96"/>
        <v>0</v>
      </c>
      <c r="AB43" s="122">
        <f t="shared" si="96"/>
        <v>0</v>
      </c>
      <c r="AC43" s="122">
        <f t="shared" si="96"/>
        <v>0</v>
      </c>
      <c r="AD43" s="122">
        <f t="shared" si="96"/>
        <v>0</v>
      </c>
      <c r="AE43" s="122">
        <f t="shared" si="96"/>
        <v>0</v>
      </c>
      <c r="AF43" s="122">
        <f t="shared" si="96"/>
        <v>0</v>
      </c>
      <c r="AG43" s="122">
        <f t="shared" si="96"/>
        <v>0</v>
      </c>
      <c r="AH43" s="122">
        <f t="shared" si="96"/>
        <v>0</v>
      </c>
      <c r="AI43" s="122">
        <f t="shared" si="96"/>
        <v>8.2708842069840003</v>
      </c>
      <c r="AJ43" s="122">
        <f t="shared" si="96"/>
        <v>0</v>
      </c>
      <c r="AK43" s="122">
        <f t="shared" si="96"/>
        <v>1.1138842069840011</v>
      </c>
      <c r="AL43" s="122">
        <f t="shared" si="96"/>
        <v>1.3489999999999993</v>
      </c>
      <c r="AM43" s="122">
        <f t="shared" si="96"/>
        <v>5.8079999999999998</v>
      </c>
      <c r="AN43" s="122">
        <f t="shared" si="96"/>
        <v>0</v>
      </c>
      <c r="AO43" s="122">
        <f t="shared" si="96"/>
        <v>0</v>
      </c>
      <c r="AP43" s="122">
        <f t="shared" si="96"/>
        <v>0</v>
      </c>
      <c r="AQ43" s="122">
        <f t="shared" si="96"/>
        <v>0</v>
      </c>
      <c r="AR43" s="122">
        <f t="shared" si="96"/>
        <v>0</v>
      </c>
      <c r="AS43" s="122">
        <f t="shared" si="96"/>
        <v>2.0793815232281276</v>
      </c>
      <c r="AT43" s="122">
        <f t="shared" si="96"/>
        <v>0</v>
      </c>
      <c r="AU43" s="122">
        <f t="shared" si="96"/>
        <v>0</v>
      </c>
      <c r="AV43" s="122">
        <f t="shared" si="96"/>
        <v>2.0789999999999997</v>
      </c>
      <c r="AW43" s="122">
        <f t="shared" si="96"/>
        <v>0</v>
      </c>
      <c r="AX43" s="122">
        <f t="shared" si="96"/>
        <v>0</v>
      </c>
      <c r="AY43" s="122">
        <f t="shared" si="96"/>
        <v>0</v>
      </c>
      <c r="AZ43" s="122">
        <f t="shared" si="96"/>
        <v>0</v>
      </c>
      <c r="BA43" s="122">
        <f t="shared" si="96"/>
        <v>0</v>
      </c>
      <c r="BB43" s="122">
        <f t="shared" si="96"/>
        <v>0</v>
      </c>
      <c r="BC43" s="122">
        <f t="shared" si="96"/>
        <v>2.2063133621469393</v>
      </c>
      <c r="BD43" s="122">
        <f t="shared" si="96"/>
        <v>0</v>
      </c>
      <c r="BE43" s="122">
        <f t="shared" si="96"/>
        <v>0</v>
      </c>
      <c r="BF43" s="122">
        <f t="shared" si="96"/>
        <v>2.206</v>
      </c>
      <c r="BG43" s="122">
        <f t="shared" si="96"/>
        <v>0</v>
      </c>
      <c r="BH43" s="122">
        <f t="shared" si="96"/>
        <v>0</v>
      </c>
      <c r="BI43" s="122">
        <f t="shared" si="96"/>
        <v>0</v>
      </c>
      <c r="BJ43" s="122">
        <f t="shared" si="96"/>
        <v>0</v>
      </c>
      <c r="BK43" s="122">
        <f t="shared" si="96"/>
        <v>0</v>
      </c>
      <c r="BL43" s="122">
        <f t="shared" si="96"/>
        <v>0</v>
      </c>
      <c r="BM43" s="122">
        <f t="shared" si="96"/>
        <v>0</v>
      </c>
      <c r="BN43" s="122">
        <f t="shared" si="96"/>
        <v>0</v>
      </c>
      <c r="BO43" s="122">
        <f t="shared" si="96"/>
        <v>0</v>
      </c>
      <c r="BP43" s="122">
        <f t="shared" si="96"/>
        <v>0</v>
      </c>
      <c r="BQ43" s="122">
        <f t="shared" si="96"/>
        <v>0</v>
      </c>
      <c r="BR43" s="122">
        <f t="shared" si="96"/>
        <v>0</v>
      </c>
      <c r="BS43" s="122">
        <f t="shared" si="96"/>
        <v>0</v>
      </c>
      <c r="BT43" s="122">
        <f t="shared" si="96"/>
        <v>0</v>
      </c>
      <c r="BU43" s="122">
        <f t="shared" ref="BU43:CF43" si="97">BU44</f>
        <v>0</v>
      </c>
      <c r="BV43" s="122">
        <f t="shared" si="97"/>
        <v>0</v>
      </c>
      <c r="BW43" s="122">
        <f t="shared" si="97"/>
        <v>12.556579092359067</v>
      </c>
      <c r="BX43" s="122">
        <f t="shared" si="97"/>
        <v>0</v>
      </c>
      <c r="BY43" s="122">
        <f t="shared" si="97"/>
        <v>1.1138842069840011</v>
      </c>
      <c r="BZ43" s="122">
        <f t="shared" si="97"/>
        <v>5.6339999999999986</v>
      </c>
      <c r="CA43" s="122">
        <f t="shared" si="97"/>
        <v>5.8079999999999998</v>
      </c>
      <c r="CB43" s="122">
        <f t="shared" si="97"/>
        <v>0</v>
      </c>
      <c r="CC43" s="122">
        <f t="shared" si="97"/>
        <v>0</v>
      </c>
      <c r="CD43" s="122">
        <f t="shared" si="97"/>
        <v>0</v>
      </c>
      <c r="CE43" s="122">
        <f t="shared" si="97"/>
        <v>0</v>
      </c>
      <c r="CF43" s="122">
        <f t="shared" si="97"/>
        <v>0</v>
      </c>
      <c r="CG43" s="122"/>
    </row>
    <row r="44" spans="1:85" s="134" customFormat="1" x14ac:dyDescent="0.25">
      <c r="A44" s="14" t="s">
        <v>74</v>
      </c>
      <c r="B44" s="11" t="s">
        <v>75</v>
      </c>
      <c r="C44" s="124"/>
      <c r="D44" s="124"/>
      <c r="E44" s="125"/>
      <c r="F44" s="125"/>
      <c r="G44" s="124"/>
      <c r="H44" s="124">
        <f>SUM(H45:H48)</f>
        <v>11.182074</v>
      </c>
      <c r="I44" s="124">
        <f t="shared" ref="I44" si="98">SUM(I45:I48)</f>
        <v>11.182074</v>
      </c>
      <c r="J44" s="124"/>
      <c r="K44" s="124"/>
      <c r="L44" s="124"/>
      <c r="M44" s="126"/>
      <c r="N44" s="124">
        <f>N48</f>
        <v>0</v>
      </c>
      <c r="O44" s="124">
        <f>O48</f>
        <v>0</v>
      </c>
      <c r="P44" s="124">
        <f>SUM(P45:P48)</f>
        <v>11.182074</v>
      </c>
      <c r="Q44" s="124">
        <f t="shared" ref="Q44:CB44" si="99">SUM(Q45:Q48)</f>
        <v>12.556579092359067</v>
      </c>
      <c r="R44" s="124">
        <f t="shared" si="99"/>
        <v>0</v>
      </c>
      <c r="S44" s="124">
        <f t="shared" si="99"/>
        <v>0</v>
      </c>
      <c r="T44" s="124">
        <f t="shared" si="99"/>
        <v>12.556579092359067</v>
      </c>
      <c r="U44" s="124">
        <f t="shared" si="99"/>
        <v>0</v>
      </c>
      <c r="V44" s="124">
        <f t="shared" si="99"/>
        <v>0</v>
      </c>
      <c r="W44" s="124">
        <f t="shared" si="99"/>
        <v>0</v>
      </c>
      <c r="X44" s="124">
        <f t="shared" si="99"/>
        <v>0</v>
      </c>
      <c r="Y44" s="124">
        <f t="shared" si="99"/>
        <v>0</v>
      </c>
      <c r="Z44" s="124">
        <f t="shared" si="99"/>
        <v>0</v>
      </c>
      <c r="AA44" s="124">
        <f t="shared" si="99"/>
        <v>0</v>
      </c>
      <c r="AB44" s="124">
        <f t="shared" si="99"/>
        <v>0</v>
      </c>
      <c r="AC44" s="124">
        <f t="shared" si="99"/>
        <v>0</v>
      </c>
      <c r="AD44" s="124">
        <f t="shared" si="99"/>
        <v>0</v>
      </c>
      <c r="AE44" s="124">
        <f t="shared" si="99"/>
        <v>0</v>
      </c>
      <c r="AF44" s="124">
        <f t="shared" si="99"/>
        <v>0</v>
      </c>
      <c r="AG44" s="124">
        <f t="shared" si="99"/>
        <v>0</v>
      </c>
      <c r="AH44" s="124">
        <f t="shared" si="99"/>
        <v>0</v>
      </c>
      <c r="AI44" s="124">
        <f t="shared" si="99"/>
        <v>8.2708842069840003</v>
      </c>
      <c r="AJ44" s="124">
        <f t="shared" si="99"/>
        <v>0</v>
      </c>
      <c r="AK44" s="124">
        <f t="shared" si="99"/>
        <v>1.1138842069840011</v>
      </c>
      <c r="AL44" s="124">
        <f t="shared" si="99"/>
        <v>1.3489999999999993</v>
      </c>
      <c r="AM44" s="124">
        <f t="shared" si="99"/>
        <v>5.8079999999999998</v>
      </c>
      <c r="AN44" s="124">
        <f t="shared" si="99"/>
        <v>0</v>
      </c>
      <c r="AO44" s="124">
        <f t="shared" si="99"/>
        <v>0</v>
      </c>
      <c r="AP44" s="124">
        <f t="shared" si="99"/>
        <v>0</v>
      </c>
      <c r="AQ44" s="124">
        <f t="shared" si="99"/>
        <v>0</v>
      </c>
      <c r="AR44" s="124">
        <f t="shared" si="99"/>
        <v>0</v>
      </c>
      <c r="AS44" s="124">
        <f t="shared" si="99"/>
        <v>2.0793815232281276</v>
      </c>
      <c r="AT44" s="124">
        <f t="shared" si="99"/>
        <v>0</v>
      </c>
      <c r="AU44" s="124">
        <f t="shared" si="99"/>
        <v>0</v>
      </c>
      <c r="AV44" s="124">
        <f t="shared" si="99"/>
        <v>2.0789999999999997</v>
      </c>
      <c r="AW44" s="124">
        <f t="shared" si="99"/>
        <v>0</v>
      </c>
      <c r="AX44" s="124">
        <f t="shared" si="99"/>
        <v>0</v>
      </c>
      <c r="AY44" s="124">
        <f t="shared" si="99"/>
        <v>0</v>
      </c>
      <c r="AZ44" s="124">
        <f t="shared" si="99"/>
        <v>0</v>
      </c>
      <c r="BA44" s="124">
        <f t="shared" si="99"/>
        <v>0</v>
      </c>
      <c r="BB44" s="124">
        <f t="shared" si="99"/>
        <v>0</v>
      </c>
      <c r="BC44" s="124">
        <f t="shared" si="99"/>
        <v>2.2063133621469393</v>
      </c>
      <c r="BD44" s="124">
        <f t="shared" si="99"/>
        <v>0</v>
      </c>
      <c r="BE44" s="124">
        <f t="shared" si="99"/>
        <v>0</v>
      </c>
      <c r="BF44" s="124">
        <f t="shared" si="99"/>
        <v>2.206</v>
      </c>
      <c r="BG44" s="124">
        <f t="shared" si="99"/>
        <v>0</v>
      </c>
      <c r="BH44" s="124">
        <f t="shared" si="99"/>
        <v>0</v>
      </c>
      <c r="BI44" s="124">
        <f t="shared" si="99"/>
        <v>0</v>
      </c>
      <c r="BJ44" s="124">
        <f t="shared" si="99"/>
        <v>0</v>
      </c>
      <c r="BK44" s="124">
        <f t="shared" si="99"/>
        <v>0</v>
      </c>
      <c r="BL44" s="124">
        <f t="shared" si="99"/>
        <v>0</v>
      </c>
      <c r="BM44" s="124">
        <f t="shared" si="99"/>
        <v>0</v>
      </c>
      <c r="BN44" s="124">
        <f t="shared" si="99"/>
        <v>0</v>
      </c>
      <c r="BO44" s="124">
        <f t="shared" si="99"/>
        <v>0</v>
      </c>
      <c r="BP44" s="124">
        <f t="shared" si="99"/>
        <v>0</v>
      </c>
      <c r="BQ44" s="124">
        <f t="shared" si="99"/>
        <v>0</v>
      </c>
      <c r="BR44" s="124">
        <f t="shared" si="99"/>
        <v>0</v>
      </c>
      <c r="BS44" s="124">
        <f t="shared" si="99"/>
        <v>0</v>
      </c>
      <c r="BT44" s="124">
        <f t="shared" si="99"/>
        <v>0</v>
      </c>
      <c r="BU44" s="124">
        <f t="shared" si="99"/>
        <v>0</v>
      </c>
      <c r="BV44" s="124">
        <f t="shared" si="99"/>
        <v>0</v>
      </c>
      <c r="BW44" s="124">
        <f t="shared" si="99"/>
        <v>12.556579092359067</v>
      </c>
      <c r="BX44" s="124">
        <f t="shared" si="99"/>
        <v>0</v>
      </c>
      <c r="BY44" s="124">
        <f t="shared" si="99"/>
        <v>1.1138842069840011</v>
      </c>
      <c r="BZ44" s="124">
        <f t="shared" si="99"/>
        <v>5.6339999999999986</v>
      </c>
      <c r="CA44" s="124">
        <f t="shared" si="99"/>
        <v>5.8079999999999998</v>
      </c>
      <c r="CB44" s="124">
        <f t="shared" si="99"/>
        <v>0</v>
      </c>
      <c r="CC44" s="124">
        <f t="shared" ref="CC44:CF44" si="100">SUM(CC45:CC48)</f>
        <v>0</v>
      </c>
      <c r="CD44" s="124">
        <f t="shared" si="100"/>
        <v>0</v>
      </c>
      <c r="CE44" s="124">
        <f t="shared" si="100"/>
        <v>0</v>
      </c>
      <c r="CF44" s="124">
        <f t="shared" si="100"/>
        <v>0</v>
      </c>
      <c r="CG44" s="124"/>
    </row>
    <row r="45" spans="1:85" s="356" customFormat="1" ht="25.5" x14ac:dyDescent="0.25">
      <c r="A45" s="14" t="s">
        <v>76</v>
      </c>
      <c r="B45" s="417" t="s">
        <v>738</v>
      </c>
      <c r="C45" s="390" t="s">
        <v>724</v>
      </c>
      <c r="D45" s="390" t="s">
        <v>146</v>
      </c>
      <c r="E45" s="418">
        <v>2023</v>
      </c>
      <c r="F45" s="418">
        <v>2023</v>
      </c>
      <c r="G45" s="354"/>
      <c r="H45" s="389">
        <v>7.5377890000000001</v>
      </c>
      <c r="I45" s="389">
        <f>H45</f>
        <v>7.5377890000000001</v>
      </c>
      <c r="J45" s="392">
        <v>44197</v>
      </c>
      <c r="K45" s="127"/>
      <c r="L45" s="127"/>
      <c r="M45" s="180"/>
      <c r="N45" s="127"/>
      <c r="O45" s="127"/>
      <c r="P45" s="389">
        <f>H45</f>
        <v>7.5377890000000001</v>
      </c>
      <c r="Q45" s="389">
        <f>P45*Ф17!E15*Ф17!F15</f>
        <v>8.2708842069840003</v>
      </c>
      <c r="R45" s="127">
        <f>K45</f>
        <v>0</v>
      </c>
      <c r="S45" s="127">
        <f>R45*Ф17!F15</f>
        <v>0</v>
      </c>
      <c r="T45" s="389">
        <f>Q45</f>
        <v>8.2708842069840003</v>
      </c>
      <c r="U45" s="127">
        <f>S45</f>
        <v>0</v>
      </c>
      <c r="V45" s="127"/>
      <c r="W45" s="127"/>
      <c r="X45" s="127"/>
      <c r="Y45" s="389">
        <f>IF(E45=2022,T45,0)</f>
        <v>0</v>
      </c>
      <c r="Z45" s="127"/>
      <c r="AA45" s="127"/>
      <c r="AB45" s="127"/>
      <c r="AC45" s="127"/>
      <c r="AD45" s="127"/>
      <c r="AE45" s="127"/>
      <c r="AF45" s="127"/>
      <c r="AG45" s="127"/>
      <c r="AH45" s="127"/>
      <c r="AI45" s="389">
        <f>IF(F45=2023,T45,0)</f>
        <v>8.2708842069840003</v>
      </c>
      <c r="AJ45" s="127"/>
      <c r="AK45" s="127">
        <f>AI45-AL45-AM45</f>
        <v>1.1138842069840011</v>
      </c>
      <c r="AL45" s="127">
        <f>8.482-7.133</f>
        <v>1.3489999999999993</v>
      </c>
      <c r="AM45" s="127">
        <v>5.8079999999999998</v>
      </c>
      <c r="AN45" s="127">
        <f>AQ45+AR45</f>
        <v>0</v>
      </c>
      <c r="AO45" s="127"/>
      <c r="AP45" s="127"/>
      <c r="AQ45" s="127">
        <v>0</v>
      </c>
      <c r="AR45" s="127">
        <f>U45-AQ45</f>
        <v>0</v>
      </c>
      <c r="AS45" s="389">
        <f>IF(E45=2024,T45,0)</f>
        <v>0</v>
      </c>
      <c r="AT45" s="127"/>
      <c r="AU45" s="127"/>
      <c r="AV45" s="127"/>
      <c r="AW45" s="127"/>
      <c r="AX45" s="127"/>
      <c r="AY45" s="127"/>
      <c r="AZ45" s="127"/>
      <c r="BA45" s="127"/>
      <c r="BB45" s="127"/>
      <c r="BC45" s="389">
        <f>IF(E45=2025,T45,0)</f>
        <v>0</v>
      </c>
      <c r="BD45" s="127"/>
      <c r="BE45" s="127"/>
      <c r="BF45" s="127"/>
      <c r="BG45" s="127"/>
      <c r="BH45" s="127"/>
      <c r="BI45" s="127"/>
      <c r="BJ45" s="127"/>
      <c r="BK45" s="127"/>
      <c r="BL45" s="127"/>
      <c r="BM45" s="389">
        <f>IF(E45=2026,T45,0)</f>
        <v>0</v>
      </c>
      <c r="BN45" s="127"/>
      <c r="BO45" s="127"/>
      <c r="BP45" s="127"/>
      <c r="BQ45" s="127"/>
      <c r="BR45" s="127"/>
      <c r="BS45" s="127"/>
      <c r="BT45" s="127"/>
      <c r="BU45" s="127"/>
      <c r="BV45" s="127"/>
      <c r="BW45" s="389">
        <f>Y45+AI45+AS45+BC45+BM45</f>
        <v>8.2708842069840003</v>
      </c>
      <c r="BX45" s="127">
        <f>AJ45</f>
        <v>0</v>
      </c>
      <c r="BY45" s="127">
        <f>AK45</f>
        <v>1.1138842069840011</v>
      </c>
      <c r="BZ45" s="127">
        <f>AL45</f>
        <v>1.3489999999999993</v>
      </c>
      <c r="CA45" s="127">
        <f>AM45</f>
        <v>5.8079999999999998</v>
      </c>
      <c r="CB45" s="352">
        <f>SUM(CC45:CF45)</f>
        <v>0</v>
      </c>
      <c r="CC45" s="127"/>
      <c r="CD45" s="127"/>
      <c r="CE45" s="352">
        <f>AG45+AQ45+BA45</f>
        <v>0</v>
      </c>
      <c r="CF45" s="352">
        <f>AH45+AR45+BB45</f>
        <v>0</v>
      </c>
      <c r="CG45" s="351"/>
    </row>
    <row r="46" spans="1:85" s="356" customFormat="1" x14ac:dyDescent="0.25">
      <c r="A46" s="14" t="s">
        <v>659</v>
      </c>
      <c r="B46" s="417" t="s">
        <v>739</v>
      </c>
      <c r="C46" s="390" t="s">
        <v>725</v>
      </c>
      <c r="D46" s="390" t="s">
        <v>146</v>
      </c>
      <c r="E46" s="418">
        <v>2024</v>
      </c>
      <c r="F46" s="418">
        <v>2024</v>
      </c>
      <c r="G46" s="350"/>
      <c r="H46" s="389">
        <v>0.88517199999999996</v>
      </c>
      <c r="I46" s="389">
        <f t="shared" ref="I46:I48" si="101">H46</f>
        <v>0.88517199999999996</v>
      </c>
      <c r="J46" s="392">
        <v>44198</v>
      </c>
      <c r="K46" s="127"/>
      <c r="L46" s="127"/>
      <c r="M46" s="180"/>
      <c r="N46" s="127"/>
      <c r="O46" s="127"/>
      <c r="P46" s="389">
        <f t="shared" ref="P46:P48" si="102">H46</f>
        <v>0.88517199999999996</v>
      </c>
      <c r="Q46" s="389">
        <f>P46*Ф17!E15*Ф17!F15*Ф17!G15</f>
        <v>1.0169095215695039</v>
      </c>
      <c r="R46" s="127">
        <f>L46</f>
        <v>0</v>
      </c>
      <c r="S46" s="127">
        <f>R46*Ф17!$G$15</f>
        <v>0</v>
      </c>
      <c r="T46" s="389">
        <f t="shared" ref="T46:T48" si="103">Q46</f>
        <v>1.0169095215695039</v>
      </c>
      <c r="U46" s="127">
        <f>S46</f>
        <v>0</v>
      </c>
      <c r="V46" s="127"/>
      <c r="W46" s="127"/>
      <c r="X46" s="127"/>
      <c r="Y46" s="389">
        <f t="shared" ref="Y46:Y48" si="104">IF(E46=2022,T46,0)</f>
        <v>0</v>
      </c>
      <c r="Z46" s="127"/>
      <c r="AA46" s="127"/>
      <c r="AB46" s="127"/>
      <c r="AC46" s="127"/>
      <c r="AD46" s="127"/>
      <c r="AE46" s="127"/>
      <c r="AF46" s="127"/>
      <c r="AG46" s="127"/>
      <c r="AH46" s="127"/>
      <c r="AI46" s="389">
        <f t="shared" ref="AI46:AI48" si="105">IF(F46=2023,T46,0)</f>
        <v>0</v>
      </c>
      <c r="AJ46" s="127"/>
      <c r="AK46" s="127"/>
      <c r="AL46" s="127"/>
      <c r="AM46" s="127"/>
      <c r="AN46" s="127"/>
      <c r="AO46" s="127"/>
      <c r="AP46" s="127"/>
      <c r="AQ46" s="127"/>
      <c r="AR46" s="127"/>
      <c r="AS46" s="389">
        <f t="shared" ref="AS46:AS48" si="106">IF(E46=2024,T46,0)</f>
        <v>1.0169095215695039</v>
      </c>
      <c r="AT46" s="127"/>
      <c r="AU46" s="127"/>
      <c r="AV46" s="127">
        <v>1.0169999999999999</v>
      </c>
      <c r="AW46" s="127"/>
      <c r="AX46" s="127">
        <f>U46</f>
        <v>0</v>
      </c>
      <c r="AY46" s="127"/>
      <c r="AZ46" s="127"/>
      <c r="BA46" s="127">
        <f>AX46</f>
        <v>0</v>
      </c>
      <c r="BB46" s="127"/>
      <c r="BC46" s="389">
        <f t="shared" ref="BC46:BC48" si="107">IF(E46=2025,T46,0)</f>
        <v>0</v>
      </c>
      <c r="BD46" s="127"/>
      <c r="BE46" s="127"/>
      <c r="BF46" s="127"/>
      <c r="BG46" s="127"/>
      <c r="BH46" s="127">
        <f>AE46</f>
        <v>0</v>
      </c>
      <c r="BI46" s="127"/>
      <c r="BJ46" s="127"/>
      <c r="BK46" s="127">
        <f>BH46</f>
        <v>0</v>
      </c>
      <c r="BL46" s="127"/>
      <c r="BM46" s="389">
        <f t="shared" ref="BM46:BM48" si="108">IF(E46=2026,T46,0)</f>
        <v>0</v>
      </c>
      <c r="BN46" s="127"/>
      <c r="BO46" s="127"/>
      <c r="BP46" s="127"/>
      <c r="BQ46" s="127"/>
      <c r="BR46" s="127">
        <f>AE46</f>
        <v>0</v>
      </c>
      <c r="BS46" s="127"/>
      <c r="BT46" s="127"/>
      <c r="BU46" s="127">
        <f>BR46</f>
        <v>0</v>
      </c>
      <c r="BV46" s="127"/>
      <c r="BW46" s="389">
        <f t="shared" ref="BW46:BW48" si="109">Y46+AI46+AS46+BC46+BM46</f>
        <v>1.0169095215695039</v>
      </c>
      <c r="BX46" s="389">
        <f t="shared" ref="BX46" si="110">Z46+AJ46+AT46+BD46+BN46</f>
        <v>0</v>
      </c>
      <c r="BY46" s="389">
        <f t="shared" ref="BY46" si="111">AA46+AK46+AU46+BE46+BO46</f>
        <v>0</v>
      </c>
      <c r="BZ46" s="389">
        <f t="shared" ref="BZ46" si="112">AB46+AL46+AV46+BF46+BP46</f>
        <v>1.0169999999999999</v>
      </c>
      <c r="CA46" s="389">
        <f t="shared" ref="CA46" si="113">AC46+AM46+AW46+BG46+BQ46</f>
        <v>0</v>
      </c>
      <c r="CB46" s="352">
        <f>AX46</f>
        <v>0</v>
      </c>
      <c r="CC46" s="127"/>
      <c r="CD46" s="127"/>
      <c r="CE46" s="352">
        <f t="shared" ref="CE46:CF48" si="114">BA46</f>
        <v>0</v>
      </c>
      <c r="CF46" s="352">
        <f t="shared" si="114"/>
        <v>0</v>
      </c>
      <c r="CG46" s="619"/>
    </row>
    <row r="47" spans="1:85" s="356" customFormat="1" x14ac:dyDescent="0.25">
      <c r="A47" s="14" t="s">
        <v>661</v>
      </c>
      <c r="B47" s="417" t="s">
        <v>740</v>
      </c>
      <c r="C47" s="390" t="s">
        <v>726</v>
      </c>
      <c r="D47" s="390" t="s">
        <v>146</v>
      </c>
      <c r="E47" s="418">
        <v>2024</v>
      </c>
      <c r="F47" s="418">
        <v>2024</v>
      </c>
      <c r="G47" s="350"/>
      <c r="H47" s="389">
        <v>0.92483199999999999</v>
      </c>
      <c r="I47" s="389">
        <f t="shared" si="101"/>
        <v>0.92483199999999999</v>
      </c>
      <c r="J47" s="392">
        <v>44199</v>
      </c>
      <c r="K47" s="127"/>
      <c r="L47" s="127"/>
      <c r="M47" s="180"/>
      <c r="N47" s="127"/>
      <c r="O47" s="127"/>
      <c r="P47" s="389">
        <f t="shared" si="102"/>
        <v>0.92483199999999999</v>
      </c>
      <c r="Q47" s="389">
        <f>P47*Ф17!E15*Ф17!F15*Ф17!G15</f>
        <v>1.0624720016586238</v>
      </c>
      <c r="R47" s="127">
        <f>L47</f>
        <v>0</v>
      </c>
      <c r="S47" s="127">
        <f>R47*Ф17!$G$15</f>
        <v>0</v>
      </c>
      <c r="T47" s="389">
        <f t="shared" si="103"/>
        <v>1.0624720016586238</v>
      </c>
      <c r="U47" s="127">
        <f>S47</f>
        <v>0</v>
      </c>
      <c r="V47" s="127"/>
      <c r="W47" s="127"/>
      <c r="X47" s="127"/>
      <c r="Y47" s="389">
        <f t="shared" si="104"/>
        <v>0</v>
      </c>
      <c r="Z47" s="127"/>
      <c r="AA47" s="127"/>
      <c r="AB47" s="127"/>
      <c r="AC47" s="127"/>
      <c r="AD47" s="127"/>
      <c r="AE47" s="127"/>
      <c r="AF47" s="127"/>
      <c r="AG47" s="127"/>
      <c r="AH47" s="127"/>
      <c r="AI47" s="389">
        <f t="shared" si="105"/>
        <v>0</v>
      </c>
      <c r="AJ47" s="127"/>
      <c r="AK47" s="127"/>
      <c r="AL47" s="127"/>
      <c r="AM47" s="127"/>
      <c r="AN47" s="127"/>
      <c r="AO47" s="127"/>
      <c r="AP47" s="127"/>
      <c r="AQ47" s="127"/>
      <c r="AR47" s="127"/>
      <c r="AS47" s="389">
        <f t="shared" si="106"/>
        <v>1.0624720016586238</v>
      </c>
      <c r="AT47" s="127"/>
      <c r="AU47" s="127"/>
      <c r="AV47" s="127">
        <v>1.0620000000000001</v>
      </c>
      <c r="AW47" s="127"/>
      <c r="AX47" s="127">
        <f>U47</f>
        <v>0</v>
      </c>
      <c r="AY47" s="127"/>
      <c r="AZ47" s="127"/>
      <c r="BA47" s="127">
        <v>0</v>
      </c>
      <c r="BB47" s="127">
        <f>AX47-BA47</f>
        <v>0</v>
      </c>
      <c r="BC47" s="389">
        <f t="shared" si="107"/>
        <v>0</v>
      </c>
      <c r="BD47" s="127"/>
      <c r="BE47" s="127"/>
      <c r="BF47" s="127"/>
      <c r="BG47" s="127"/>
      <c r="BH47" s="127">
        <f>AE47</f>
        <v>0</v>
      </c>
      <c r="BI47" s="127"/>
      <c r="BJ47" s="127"/>
      <c r="BK47" s="127">
        <v>0</v>
      </c>
      <c r="BL47" s="127">
        <f>BH47-BK47</f>
        <v>0</v>
      </c>
      <c r="BM47" s="389">
        <f t="shared" si="108"/>
        <v>0</v>
      </c>
      <c r="BN47" s="127"/>
      <c r="BO47" s="127"/>
      <c r="BP47" s="127"/>
      <c r="BQ47" s="127"/>
      <c r="BR47" s="127">
        <f>AE47</f>
        <v>0</v>
      </c>
      <c r="BS47" s="127"/>
      <c r="BT47" s="127"/>
      <c r="BU47" s="127">
        <v>0</v>
      </c>
      <c r="BV47" s="127">
        <f>BR47-BU47</f>
        <v>0</v>
      </c>
      <c r="BW47" s="389">
        <f t="shared" ref="BW47:BW48" si="115">Y47+AI47+AS47+BC47+BM47</f>
        <v>1.0624720016586238</v>
      </c>
      <c r="BX47" s="389">
        <f t="shared" ref="BX47:BX48" si="116">Z47+AJ47+AT47+BD47+BN47</f>
        <v>0</v>
      </c>
      <c r="BY47" s="389">
        <f t="shared" ref="BY47:BY48" si="117">AA47+AK47+AU47+BE47+BO47</f>
        <v>0</v>
      </c>
      <c r="BZ47" s="389">
        <f t="shared" ref="BZ47:BZ48" si="118">AB47+AL47+AV47+BF47+BP47</f>
        <v>1.0620000000000001</v>
      </c>
      <c r="CA47" s="389">
        <f t="shared" ref="CA47:CA48" si="119">AC47+AM47+AW47+BG47+BQ47</f>
        <v>0</v>
      </c>
      <c r="CB47" s="352">
        <f>AX47</f>
        <v>0</v>
      </c>
      <c r="CC47" s="127"/>
      <c r="CD47" s="127"/>
      <c r="CE47" s="352">
        <f t="shared" si="114"/>
        <v>0</v>
      </c>
      <c r="CF47" s="352">
        <f t="shared" si="114"/>
        <v>0</v>
      </c>
      <c r="CG47" s="620"/>
    </row>
    <row r="48" spans="1:85" s="356" customFormat="1" ht="38.25" x14ac:dyDescent="0.25">
      <c r="A48" s="14" t="s">
        <v>662</v>
      </c>
      <c r="B48" s="417" t="s">
        <v>741</v>
      </c>
      <c r="C48" s="390" t="s">
        <v>727</v>
      </c>
      <c r="D48" s="390" t="s">
        <v>146</v>
      </c>
      <c r="E48" s="418">
        <v>2025</v>
      </c>
      <c r="F48" s="418">
        <v>2025</v>
      </c>
      <c r="G48" s="350"/>
      <c r="H48" s="389">
        <v>1.8342809999999998</v>
      </c>
      <c r="I48" s="389">
        <f t="shared" si="101"/>
        <v>1.8342809999999998</v>
      </c>
      <c r="J48" s="392">
        <v>44200</v>
      </c>
      <c r="K48" s="127"/>
      <c r="L48" s="127"/>
      <c r="M48" s="180"/>
      <c r="N48" s="127">
        <v>0</v>
      </c>
      <c r="O48" s="127">
        <v>0</v>
      </c>
      <c r="P48" s="389">
        <f t="shared" si="102"/>
        <v>1.8342809999999998</v>
      </c>
      <c r="Q48" s="389">
        <f>P48*Ф17!E15*Ф17!F15*Ф17!G15*Ф17!H15</f>
        <v>2.2063133621469393</v>
      </c>
      <c r="R48" s="127">
        <f>L48</f>
        <v>0</v>
      </c>
      <c r="S48" s="127">
        <f>R48*Ф17!E15*Ф17!F15*Ф17!G15</f>
        <v>0</v>
      </c>
      <c r="T48" s="389">
        <f t="shared" si="103"/>
        <v>2.2063133621469393</v>
      </c>
      <c r="U48" s="127">
        <f>S48</f>
        <v>0</v>
      </c>
      <c r="V48" s="352">
        <v>0</v>
      </c>
      <c r="W48" s="352">
        <v>0</v>
      </c>
      <c r="X48" s="352">
        <v>0</v>
      </c>
      <c r="Y48" s="389">
        <f t="shared" si="104"/>
        <v>0</v>
      </c>
      <c r="Z48" s="352">
        <v>0</v>
      </c>
      <c r="AA48" s="352">
        <v>0</v>
      </c>
      <c r="AB48" s="352">
        <v>0</v>
      </c>
      <c r="AC48" s="352">
        <v>0</v>
      </c>
      <c r="AD48" s="352">
        <f>AE48+AF48+AG48+AH48</f>
        <v>0</v>
      </c>
      <c r="AE48" s="352">
        <v>0</v>
      </c>
      <c r="AF48" s="352">
        <v>0</v>
      </c>
      <c r="AG48" s="352">
        <v>0</v>
      </c>
      <c r="AH48" s="352">
        <v>0</v>
      </c>
      <c r="AI48" s="389">
        <f t="shared" si="105"/>
        <v>0</v>
      </c>
      <c r="AJ48" s="352">
        <v>0</v>
      </c>
      <c r="AK48" s="352">
        <v>0</v>
      </c>
      <c r="AL48" s="352">
        <v>0</v>
      </c>
      <c r="AM48" s="352">
        <v>0</v>
      </c>
      <c r="AN48" s="352">
        <f>AO48+AP48+AQ48+AR48</f>
        <v>0</v>
      </c>
      <c r="AO48" s="352">
        <v>0</v>
      </c>
      <c r="AP48" s="352">
        <v>0</v>
      </c>
      <c r="AQ48" s="352">
        <v>0</v>
      </c>
      <c r="AR48" s="352">
        <v>0</v>
      </c>
      <c r="AS48" s="389">
        <f t="shared" si="106"/>
        <v>0</v>
      </c>
      <c r="AT48" s="352">
        <v>0</v>
      </c>
      <c r="AU48" s="352">
        <v>0</v>
      </c>
      <c r="AV48" s="352">
        <v>0</v>
      </c>
      <c r="AW48" s="352">
        <v>0</v>
      </c>
      <c r="AX48" s="352">
        <f>AY48+AZ48+BA48+BB48</f>
        <v>0</v>
      </c>
      <c r="AY48" s="352"/>
      <c r="AZ48" s="352"/>
      <c r="BA48" s="352">
        <v>0</v>
      </c>
      <c r="BB48" s="352">
        <f>AS48</f>
        <v>0</v>
      </c>
      <c r="BC48" s="389">
        <f t="shared" si="107"/>
        <v>2.2063133621469393</v>
      </c>
      <c r="BD48" s="352">
        <v>0</v>
      </c>
      <c r="BE48" s="352">
        <v>0</v>
      </c>
      <c r="BF48" s="352">
        <v>2.206</v>
      </c>
      <c r="BG48" s="352">
        <v>0</v>
      </c>
      <c r="BH48" s="352">
        <f>BI48+BJ48+BK48+BL48</f>
        <v>0</v>
      </c>
      <c r="BI48" s="352"/>
      <c r="BJ48" s="352"/>
      <c r="BK48" s="352">
        <v>0</v>
      </c>
      <c r="BL48" s="352">
        <v>0</v>
      </c>
      <c r="BM48" s="389">
        <f t="shared" si="108"/>
        <v>0</v>
      </c>
      <c r="BN48" s="352">
        <v>0</v>
      </c>
      <c r="BO48" s="352">
        <v>0</v>
      </c>
      <c r="BP48" s="352">
        <v>0</v>
      </c>
      <c r="BQ48" s="352">
        <v>0</v>
      </c>
      <c r="BR48" s="352">
        <f>BS48+BT48+BU48+BV48</f>
        <v>0</v>
      </c>
      <c r="BS48" s="352"/>
      <c r="BT48" s="352"/>
      <c r="BU48" s="352">
        <v>0</v>
      </c>
      <c r="BV48" s="352">
        <f>BM48</f>
        <v>0</v>
      </c>
      <c r="BW48" s="389">
        <f t="shared" si="115"/>
        <v>2.2063133621469393</v>
      </c>
      <c r="BX48" s="389">
        <f t="shared" si="116"/>
        <v>0</v>
      </c>
      <c r="BY48" s="389">
        <f t="shared" si="117"/>
        <v>0</v>
      </c>
      <c r="BZ48" s="389">
        <f t="shared" si="118"/>
        <v>2.206</v>
      </c>
      <c r="CA48" s="389">
        <f t="shared" si="119"/>
        <v>0</v>
      </c>
      <c r="CB48" s="352">
        <f>SUM(CC48:CF48)</f>
        <v>0</v>
      </c>
      <c r="CC48" s="352"/>
      <c r="CD48" s="352"/>
      <c r="CE48" s="352">
        <f t="shared" si="114"/>
        <v>0</v>
      </c>
      <c r="CF48" s="352">
        <f t="shared" si="114"/>
        <v>0</v>
      </c>
      <c r="CG48" s="355"/>
    </row>
    <row r="49" spans="1:85" s="134" customFormat="1" ht="31.5" hidden="1" x14ac:dyDescent="0.25">
      <c r="A49" s="14" t="s">
        <v>114</v>
      </c>
      <c r="B49" s="11" t="s">
        <v>115</v>
      </c>
      <c r="C49" s="124"/>
      <c r="D49" s="124"/>
      <c r="E49" s="125"/>
      <c r="F49" s="125"/>
      <c r="G49" s="124"/>
      <c r="H49" s="124"/>
      <c r="I49" s="124"/>
      <c r="J49" s="126"/>
      <c r="K49" s="124"/>
      <c r="L49" s="124"/>
      <c r="M49" s="126"/>
      <c r="N49" s="124"/>
      <c r="O49" s="124"/>
      <c r="P49" s="124"/>
      <c r="Q49" s="124"/>
      <c r="R49" s="124"/>
      <c r="S49" s="124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</row>
    <row r="50" spans="1:85" s="133" customFormat="1" ht="31.5" x14ac:dyDescent="0.25">
      <c r="A50" s="33" t="s">
        <v>116</v>
      </c>
      <c r="B50" s="65" t="s">
        <v>117</v>
      </c>
      <c r="C50" s="122"/>
      <c r="D50" s="122"/>
      <c r="E50" s="123"/>
      <c r="F50" s="123"/>
      <c r="G50" s="122"/>
      <c r="H50" s="122">
        <f>H51</f>
        <v>29.228720000000003</v>
      </c>
      <c r="I50" s="122">
        <f t="shared" ref="I50:BT50" si="120">I51</f>
        <v>29.228720000000003</v>
      </c>
      <c r="J50" s="122">
        <f t="shared" si="120"/>
        <v>220995</v>
      </c>
      <c r="K50" s="122">
        <f t="shared" si="120"/>
        <v>0</v>
      </c>
      <c r="L50" s="122">
        <f t="shared" si="120"/>
        <v>0</v>
      </c>
      <c r="M50" s="122">
        <f t="shared" si="120"/>
        <v>0</v>
      </c>
      <c r="N50" s="122">
        <f t="shared" si="120"/>
        <v>0</v>
      </c>
      <c r="O50" s="122">
        <f t="shared" si="120"/>
        <v>0</v>
      </c>
      <c r="P50" s="122">
        <f t="shared" si="120"/>
        <v>29.228720000000003</v>
      </c>
      <c r="Q50" s="122">
        <f t="shared" si="120"/>
        <v>33.098491262457649</v>
      </c>
      <c r="R50" s="122">
        <f t="shared" si="120"/>
        <v>0</v>
      </c>
      <c r="S50" s="122">
        <f t="shared" si="120"/>
        <v>0</v>
      </c>
      <c r="T50" s="122">
        <f t="shared" si="120"/>
        <v>33.098491262457649</v>
      </c>
      <c r="U50" s="122">
        <f t="shared" si="120"/>
        <v>0</v>
      </c>
      <c r="V50" s="122">
        <f t="shared" si="120"/>
        <v>0</v>
      </c>
      <c r="W50" s="122">
        <f t="shared" si="120"/>
        <v>0</v>
      </c>
      <c r="X50" s="122">
        <f t="shared" si="120"/>
        <v>0</v>
      </c>
      <c r="Y50" s="122">
        <f t="shared" si="120"/>
        <v>9.722202728000001</v>
      </c>
      <c r="Z50" s="122">
        <f t="shared" si="120"/>
        <v>0</v>
      </c>
      <c r="AA50" s="122">
        <f t="shared" si="120"/>
        <v>0</v>
      </c>
      <c r="AB50" s="122">
        <f t="shared" si="120"/>
        <v>8.1010000000000009</v>
      </c>
      <c r="AC50" s="122">
        <f t="shared" si="120"/>
        <v>1.621</v>
      </c>
      <c r="AD50" s="122">
        <f t="shared" si="120"/>
        <v>0</v>
      </c>
      <c r="AE50" s="122">
        <f t="shared" si="120"/>
        <v>0</v>
      </c>
      <c r="AF50" s="122">
        <f t="shared" si="120"/>
        <v>0</v>
      </c>
      <c r="AG50" s="122">
        <f t="shared" si="120"/>
        <v>0</v>
      </c>
      <c r="AH50" s="122">
        <f t="shared" si="120"/>
        <v>0</v>
      </c>
      <c r="AI50" s="122">
        <f t="shared" si="120"/>
        <v>7.1332700340479995</v>
      </c>
      <c r="AJ50" s="122">
        <f t="shared" si="120"/>
        <v>0</v>
      </c>
      <c r="AK50" s="122">
        <f t="shared" si="120"/>
        <v>0</v>
      </c>
      <c r="AL50" s="122">
        <f t="shared" si="120"/>
        <v>7.133</v>
      </c>
      <c r="AM50" s="122">
        <f t="shared" si="120"/>
        <v>0</v>
      </c>
      <c r="AN50" s="122">
        <f t="shared" si="120"/>
        <v>0</v>
      </c>
      <c r="AO50" s="122">
        <f t="shared" si="120"/>
        <v>0</v>
      </c>
      <c r="AP50" s="122">
        <f t="shared" si="120"/>
        <v>0</v>
      </c>
      <c r="AQ50" s="122">
        <f t="shared" si="120"/>
        <v>0</v>
      </c>
      <c r="AR50" s="122">
        <f t="shared" si="120"/>
        <v>0</v>
      </c>
      <c r="AS50" s="122">
        <f t="shared" si="120"/>
        <v>4.5374394127440958</v>
      </c>
      <c r="AT50" s="122">
        <f t="shared" si="120"/>
        <v>0</v>
      </c>
      <c r="AU50" s="122">
        <f t="shared" si="120"/>
        <v>0</v>
      </c>
      <c r="AV50" s="122">
        <f t="shared" si="120"/>
        <v>4.5369999999999999</v>
      </c>
      <c r="AW50" s="122">
        <f t="shared" si="120"/>
        <v>0</v>
      </c>
      <c r="AX50" s="122">
        <f t="shared" si="120"/>
        <v>0</v>
      </c>
      <c r="AY50" s="122">
        <f t="shared" si="120"/>
        <v>0</v>
      </c>
      <c r="AZ50" s="122">
        <f t="shared" si="120"/>
        <v>0</v>
      </c>
      <c r="BA50" s="122">
        <f t="shared" si="120"/>
        <v>0</v>
      </c>
      <c r="BB50" s="122">
        <f t="shared" si="120"/>
        <v>0</v>
      </c>
      <c r="BC50" s="122">
        <f t="shared" si="120"/>
        <v>5.5269401799240248</v>
      </c>
      <c r="BD50" s="122">
        <f t="shared" si="120"/>
        <v>0</v>
      </c>
      <c r="BE50" s="122">
        <f t="shared" si="120"/>
        <v>0</v>
      </c>
      <c r="BF50" s="122">
        <f t="shared" si="120"/>
        <v>5.5270000000000001</v>
      </c>
      <c r="BG50" s="122">
        <f t="shared" si="120"/>
        <v>0</v>
      </c>
      <c r="BH50" s="122">
        <f t="shared" si="120"/>
        <v>0</v>
      </c>
      <c r="BI50" s="122">
        <f t="shared" si="120"/>
        <v>0</v>
      </c>
      <c r="BJ50" s="122">
        <f t="shared" si="120"/>
        <v>0</v>
      </c>
      <c r="BK50" s="122">
        <f t="shared" si="120"/>
        <v>0</v>
      </c>
      <c r="BL50" s="122">
        <f t="shared" si="120"/>
        <v>0</v>
      </c>
      <c r="BM50" s="122">
        <f t="shared" si="120"/>
        <v>6.178638907741524</v>
      </c>
      <c r="BN50" s="122">
        <f t="shared" si="120"/>
        <v>0</v>
      </c>
      <c r="BO50" s="122">
        <f t="shared" si="120"/>
        <v>0</v>
      </c>
      <c r="BP50" s="122">
        <f t="shared" si="120"/>
        <v>6.1790000000000003</v>
      </c>
      <c r="BQ50" s="122">
        <f t="shared" si="120"/>
        <v>0</v>
      </c>
      <c r="BR50" s="122">
        <f t="shared" si="120"/>
        <v>0</v>
      </c>
      <c r="BS50" s="122">
        <f t="shared" si="120"/>
        <v>0</v>
      </c>
      <c r="BT50" s="122">
        <f t="shared" si="120"/>
        <v>0</v>
      </c>
      <c r="BU50" s="122">
        <f t="shared" ref="BU50:CF50" si="121">BU51</f>
        <v>0</v>
      </c>
      <c r="BV50" s="122">
        <f t="shared" si="121"/>
        <v>0</v>
      </c>
      <c r="BW50" s="122">
        <f t="shared" si="121"/>
        <v>33.098491262457649</v>
      </c>
      <c r="BX50" s="122">
        <f t="shared" si="121"/>
        <v>0</v>
      </c>
      <c r="BY50" s="122">
        <f t="shared" si="121"/>
        <v>0</v>
      </c>
      <c r="BZ50" s="122">
        <f t="shared" si="121"/>
        <v>31.477000000000004</v>
      </c>
      <c r="CA50" s="122">
        <f t="shared" si="121"/>
        <v>1.621</v>
      </c>
      <c r="CB50" s="122">
        <f t="shared" si="121"/>
        <v>0</v>
      </c>
      <c r="CC50" s="122">
        <f t="shared" si="121"/>
        <v>0</v>
      </c>
      <c r="CD50" s="122">
        <f t="shared" si="121"/>
        <v>0</v>
      </c>
      <c r="CE50" s="122">
        <f t="shared" si="121"/>
        <v>0</v>
      </c>
      <c r="CF50" s="122">
        <f t="shared" si="121"/>
        <v>0</v>
      </c>
      <c r="CG50" s="122"/>
    </row>
    <row r="51" spans="1:85" s="134" customFormat="1" ht="31.5" outlineLevel="1" x14ac:dyDescent="0.25">
      <c r="A51" s="14" t="s">
        <v>118</v>
      </c>
      <c r="B51" s="414" t="s">
        <v>119</v>
      </c>
      <c r="C51" s="124"/>
      <c r="D51" s="124"/>
      <c r="E51" s="125"/>
      <c r="F51" s="125"/>
      <c r="G51" s="124"/>
      <c r="H51" s="124">
        <f>SUM(H52:H56)</f>
        <v>29.228720000000003</v>
      </c>
      <c r="I51" s="124">
        <f>SUM(I52:I56)</f>
        <v>29.228720000000003</v>
      </c>
      <c r="J51" s="124">
        <f t="shared" ref="J51:BU51" si="122">SUM(J52:J56)</f>
        <v>220995</v>
      </c>
      <c r="K51" s="124">
        <f t="shared" si="122"/>
        <v>0</v>
      </c>
      <c r="L51" s="124">
        <f t="shared" si="122"/>
        <v>0</v>
      </c>
      <c r="M51" s="124">
        <f t="shared" si="122"/>
        <v>0</v>
      </c>
      <c r="N51" s="124">
        <f t="shared" si="122"/>
        <v>0</v>
      </c>
      <c r="O51" s="124">
        <f t="shared" si="122"/>
        <v>0</v>
      </c>
      <c r="P51" s="124">
        <f t="shared" si="122"/>
        <v>29.228720000000003</v>
      </c>
      <c r="Q51" s="124">
        <f t="shared" si="122"/>
        <v>33.098491262457649</v>
      </c>
      <c r="R51" s="124">
        <f t="shared" si="122"/>
        <v>0</v>
      </c>
      <c r="S51" s="124">
        <f t="shared" si="122"/>
        <v>0</v>
      </c>
      <c r="T51" s="124">
        <f t="shared" si="122"/>
        <v>33.098491262457649</v>
      </c>
      <c r="U51" s="124">
        <f t="shared" si="122"/>
        <v>0</v>
      </c>
      <c r="V51" s="124">
        <f t="shared" si="122"/>
        <v>0</v>
      </c>
      <c r="W51" s="124">
        <f t="shared" si="122"/>
        <v>0</v>
      </c>
      <c r="X51" s="124">
        <f t="shared" si="122"/>
        <v>0</v>
      </c>
      <c r="Y51" s="124">
        <f t="shared" si="122"/>
        <v>9.722202728000001</v>
      </c>
      <c r="Z51" s="124">
        <f t="shared" si="122"/>
        <v>0</v>
      </c>
      <c r="AA51" s="124">
        <f t="shared" si="122"/>
        <v>0</v>
      </c>
      <c r="AB51" s="124">
        <f t="shared" si="122"/>
        <v>8.1010000000000009</v>
      </c>
      <c r="AC51" s="124">
        <f t="shared" si="122"/>
        <v>1.621</v>
      </c>
      <c r="AD51" s="124">
        <f t="shared" si="122"/>
        <v>0</v>
      </c>
      <c r="AE51" s="124">
        <f t="shared" si="122"/>
        <v>0</v>
      </c>
      <c r="AF51" s="124">
        <f t="shared" si="122"/>
        <v>0</v>
      </c>
      <c r="AG51" s="124">
        <f t="shared" si="122"/>
        <v>0</v>
      </c>
      <c r="AH51" s="124">
        <f t="shared" si="122"/>
        <v>0</v>
      </c>
      <c r="AI51" s="124">
        <f t="shared" si="122"/>
        <v>7.1332700340479995</v>
      </c>
      <c r="AJ51" s="124">
        <f t="shared" si="122"/>
        <v>0</v>
      </c>
      <c r="AK51" s="124">
        <f t="shared" si="122"/>
        <v>0</v>
      </c>
      <c r="AL51" s="124">
        <f t="shared" si="122"/>
        <v>7.133</v>
      </c>
      <c r="AM51" s="124">
        <f t="shared" si="122"/>
        <v>0</v>
      </c>
      <c r="AN51" s="124">
        <f t="shared" si="122"/>
        <v>0</v>
      </c>
      <c r="AO51" s="124">
        <f t="shared" si="122"/>
        <v>0</v>
      </c>
      <c r="AP51" s="124">
        <f t="shared" si="122"/>
        <v>0</v>
      </c>
      <c r="AQ51" s="124">
        <f t="shared" si="122"/>
        <v>0</v>
      </c>
      <c r="AR51" s="124">
        <f t="shared" si="122"/>
        <v>0</v>
      </c>
      <c r="AS51" s="124">
        <f t="shared" si="122"/>
        <v>4.5374394127440958</v>
      </c>
      <c r="AT51" s="124">
        <f t="shared" si="122"/>
        <v>0</v>
      </c>
      <c r="AU51" s="124">
        <f t="shared" si="122"/>
        <v>0</v>
      </c>
      <c r="AV51" s="124">
        <f t="shared" si="122"/>
        <v>4.5369999999999999</v>
      </c>
      <c r="AW51" s="124">
        <f t="shared" si="122"/>
        <v>0</v>
      </c>
      <c r="AX51" s="124">
        <f t="shared" si="122"/>
        <v>0</v>
      </c>
      <c r="AY51" s="124">
        <f t="shared" si="122"/>
        <v>0</v>
      </c>
      <c r="AZ51" s="124">
        <f t="shared" si="122"/>
        <v>0</v>
      </c>
      <c r="BA51" s="124">
        <f t="shared" si="122"/>
        <v>0</v>
      </c>
      <c r="BB51" s="124">
        <f t="shared" si="122"/>
        <v>0</v>
      </c>
      <c r="BC51" s="124">
        <f t="shared" si="122"/>
        <v>5.5269401799240248</v>
      </c>
      <c r="BD51" s="124">
        <f t="shared" si="122"/>
        <v>0</v>
      </c>
      <c r="BE51" s="124">
        <f t="shared" si="122"/>
        <v>0</v>
      </c>
      <c r="BF51" s="124">
        <f t="shared" si="122"/>
        <v>5.5270000000000001</v>
      </c>
      <c r="BG51" s="124">
        <f t="shared" si="122"/>
        <v>0</v>
      </c>
      <c r="BH51" s="124">
        <f t="shared" si="122"/>
        <v>0</v>
      </c>
      <c r="BI51" s="124">
        <f t="shared" si="122"/>
        <v>0</v>
      </c>
      <c r="BJ51" s="124">
        <f t="shared" si="122"/>
        <v>0</v>
      </c>
      <c r="BK51" s="124">
        <f t="shared" si="122"/>
        <v>0</v>
      </c>
      <c r="BL51" s="124">
        <f t="shared" si="122"/>
        <v>0</v>
      </c>
      <c r="BM51" s="124">
        <f t="shared" si="122"/>
        <v>6.178638907741524</v>
      </c>
      <c r="BN51" s="124">
        <f t="shared" si="122"/>
        <v>0</v>
      </c>
      <c r="BO51" s="124">
        <f t="shared" si="122"/>
        <v>0</v>
      </c>
      <c r="BP51" s="124">
        <f t="shared" si="122"/>
        <v>6.1790000000000003</v>
      </c>
      <c r="BQ51" s="124">
        <f t="shared" si="122"/>
        <v>0</v>
      </c>
      <c r="BR51" s="124">
        <f t="shared" si="122"/>
        <v>0</v>
      </c>
      <c r="BS51" s="124">
        <f t="shared" si="122"/>
        <v>0</v>
      </c>
      <c r="BT51" s="124">
        <f t="shared" si="122"/>
        <v>0</v>
      </c>
      <c r="BU51" s="124">
        <f t="shared" si="122"/>
        <v>0</v>
      </c>
      <c r="BV51" s="124">
        <f t="shared" ref="BV51:CF51" si="123">SUM(BV52:BV56)</f>
        <v>0</v>
      </c>
      <c r="BW51" s="124">
        <f t="shared" si="123"/>
        <v>33.098491262457649</v>
      </c>
      <c r="BX51" s="124">
        <f t="shared" si="123"/>
        <v>0</v>
      </c>
      <c r="BY51" s="124">
        <f t="shared" si="123"/>
        <v>0</v>
      </c>
      <c r="BZ51" s="124">
        <f t="shared" si="123"/>
        <v>31.477000000000004</v>
      </c>
      <c r="CA51" s="124">
        <f t="shared" si="123"/>
        <v>1.621</v>
      </c>
      <c r="CB51" s="124">
        <f t="shared" si="123"/>
        <v>0</v>
      </c>
      <c r="CC51" s="124">
        <f t="shared" si="123"/>
        <v>0</v>
      </c>
      <c r="CD51" s="124">
        <f t="shared" si="123"/>
        <v>0</v>
      </c>
      <c r="CE51" s="124">
        <f t="shared" si="123"/>
        <v>0</v>
      </c>
      <c r="CF51" s="124">
        <f t="shared" si="123"/>
        <v>0</v>
      </c>
      <c r="CG51" s="135"/>
    </row>
    <row r="52" spans="1:85" s="134" customFormat="1" outlineLevel="1" x14ac:dyDescent="0.25">
      <c r="A52" s="14" t="s">
        <v>701</v>
      </c>
      <c r="B52" s="421" t="s">
        <v>706</v>
      </c>
      <c r="C52" s="390" t="s">
        <v>728</v>
      </c>
      <c r="D52" s="390" t="s">
        <v>146</v>
      </c>
      <c r="E52" s="418">
        <v>2022</v>
      </c>
      <c r="F52" s="418">
        <v>2022</v>
      </c>
      <c r="G52" s="124"/>
      <c r="H52" s="389">
        <v>9.2769110000000001</v>
      </c>
      <c r="I52" s="389">
        <f>H52</f>
        <v>9.2769110000000001</v>
      </c>
      <c r="J52" s="392">
        <v>44197</v>
      </c>
      <c r="K52" s="124"/>
      <c r="L52" s="124"/>
      <c r="M52" s="126"/>
      <c r="N52" s="124"/>
      <c r="O52" s="124"/>
      <c r="P52" s="389">
        <f>H52</f>
        <v>9.2769110000000001</v>
      </c>
      <c r="Q52" s="389">
        <f>P52*Ф17!E15</f>
        <v>9.722202728000001</v>
      </c>
      <c r="R52" s="124"/>
      <c r="S52" s="124"/>
      <c r="T52" s="389">
        <f>Q52</f>
        <v>9.722202728000001</v>
      </c>
      <c r="U52" s="135"/>
      <c r="V52" s="135"/>
      <c r="W52" s="135"/>
      <c r="X52" s="135"/>
      <c r="Y52" s="389">
        <f>IF(E52=2022,T52,0)</f>
        <v>9.722202728000001</v>
      </c>
      <c r="Z52" s="135"/>
      <c r="AA52" s="135"/>
      <c r="AB52" s="853">
        <v>8.1010000000000009</v>
      </c>
      <c r="AC52" s="853">
        <v>1.621</v>
      </c>
      <c r="AD52" s="135"/>
      <c r="AE52" s="135"/>
      <c r="AF52" s="135"/>
      <c r="AG52" s="135"/>
      <c r="AH52" s="135"/>
      <c r="AI52" s="389">
        <f>IF(F52=2023,T52,0)</f>
        <v>0</v>
      </c>
      <c r="AJ52" s="135"/>
      <c r="AK52" s="135"/>
      <c r="AL52" s="135"/>
      <c r="AM52" s="135"/>
      <c r="AN52" s="135"/>
      <c r="AO52" s="135"/>
      <c r="AP52" s="135"/>
      <c r="AQ52" s="135"/>
      <c r="AR52" s="135"/>
      <c r="AS52" s="389">
        <f>IF(E52=2024,T52,0)</f>
        <v>0</v>
      </c>
      <c r="AT52" s="135"/>
      <c r="AU52" s="135"/>
      <c r="AV52" s="135"/>
      <c r="AW52" s="135"/>
      <c r="AX52" s="135"/>
      <c r="AY52" s="135"/>
      <c r="AZ52" s="135"/>
      <c r="BA52" s="135"/>
      <c r="BB52" s="135"/>
      <c r="BC52" s="389">
        <f>IF(E52=2025,T52,0)</f>
        <v>0</v>
      </c>
      <c r="BD52" s="135"/>
      <c r="BE52" s="135"/>
      <c r="BF52" s="135"/>
      <c r="BG52" s="135"/>
      <c r="BH52" s="135"/>
      <c r="BI52" s="135"/>
      <c r="BJ52" s="135"/>
      <c r="BK52" s="135"/>
      <c r="BL52" s="135"/>
      <c r="BM52" s="389">
        <f>IF(E52=2026,T52,0)</f>
        <v>0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389">
        <f>Y52+AI52+AS52+BC52+BM52</f>
        <v>9.722202728000001</v>
      </c>
      <c r="BX52" s="389">
        <f t="shared" ref="BX52:CA56" si="124">Z52+AJ52+AT52+BD52+BN52</f>
        <v>0</v>
      </c>
      <c r="BY52" s="389">
        <f t="shared" si="124"/>
        <v>0</v>
      </c>
      <c r="BZ52" s="389">
        <f t="shared" si="124"/>
        <v>8.1010000000000009</v>
      </c>
      <c r="CA52" s="389">
        <f t="shared" si="124"/>
        <v>1.621</v>
      </c>
      <c r="CB52" s="135"/>
      <c r="CC52" s="135"/>
      <c r="CD52" s="135"/>
      <c r="CE52" s="135"/>
      <c r="CF52" s="135"/>
      <c r="CG52" s="135"/>
    </row>
    <row r="53" spans="1:85" s="134" customFormat="1" outlineLevel="1" x14ac:dyDescent="0.25">
      <c r="A53" s="14" t="s">
        <v>702</v>
      </c>
      <c r="B53" s="421" t="s">
        <v>706</v>
      </c>
      <c r="C53" s="390" t="s">
        <v>729</v>
      </c>
      <c r="D53" s="390" t="s">
        <v>146</v>
      </c>
      <c r="E53" s="418">
        <v>2023</v>
      </c>
      <c r="F53" s="418">
        <v>2023</v>
      </c>
      <c r="G53" s="124"/>
      <c r="H53" s="389">
        <v>6.5010079999999997</v>
      </c>
      <c r="I53" s="389">
        <f t="shared" ref="I53:I56" si="125">H53</f>
        <v>6.5010079999999997</v>
      </c>
      <c r="J53" s="392">
        <v>44198</v>
      </c>
      <c r="K53" s="124"/>
      <c r="L53" s="124"/>
      <c r="M53" s="126"/>
      <c r="N53" s="124"/>
      <c r="O53" s="124"/>
      <c r="P53" s="389">
        <f t="shared" ref="P53:P56" si="126">H53</f>
        <v>6.5010079999999997</v>
      </c>
      <c r="Q53" s="389">
        <f>P53*Ф17!E15*Ф17!F15</f>
        <v>7.1332700340479995</v>
      </c>
      <c r="R53" s="124"/>
      <c r="S53" s="124"/>
      <c r="T53" s="389">
        <f t="shared" ref="T53:T55" si="127">Q53</f>
        <v>7.1332700340479995</v>
      </c>
      <c r="U53" s="135"/>
      <c r="V53" s="135"/>
      <c r="W53" s="135"/>
      <c r="X53" s="135"/>
      <c r="Y53" s="389">
        <f t="shared" ref="Y53:Y55" si="128">IF(E53=2022,T53,0)</f>
        <v>0</v>
      </c>
      <c r="Z53" s="135"/>
      <c r="AA53" s="135"/>
      <c r="AB53" s="135"/>
      <c r="AC53" s="135"/>
      <c r="AD53" s="135"/>
      <c r="AE53" s="135"/>
      <c r="AF53" s="135"/>
      <c r="AG53" s="135"/>
      <c r="AH53" s="135"/>
      <c r="AI53" s="389">
        <f t="shared" ref="AI53:AI56" si="129">IF(F53=2023,T53,0)</f>
        <v>7.1332700340479995</v>
      </c>
      <c r="AJ53" s="135"/>
      <c r="AK53" s="135"/>
      <c r="AL53" s="135">
        <v>7.133</v>
      </c>
      <c r="AM53" s="135"/>
      <c r="AN53" s="135"/>
      <c r="AO53" s="135"/>
      <c r="AP53" s="135"/>
      <c r="AQ53" s="135"/>
      <c r="AR53" s="135"/>
      <c r="AS53" s="389">
        <f t="shared" ref="AS53:AS55" si="130">IF(E53=2024,T53,0)</f>
        <v>0</v>
      </c>
      <c r="AT53" s="135"/>
      <c r="AU53" s="135"/>
      <c r="AV53" s="135"/>
      <c r="AW53" s="135"/>
      <c r="AX53" s="135"/>
      <c r="AY53" s="135"/>
      <c r="AZ53" s="135"/>
      <c r="BA53" s="135"/>
      <c r="BB53" s="135"/>
      <c r="BC53" s="389">
        <f t="shared" ref="BC53:BC55" si="131">IF(E53=2025,T53,0)</f>
        <v>0</v>
      </c>
      <c r="BD53" s="135"/>
      <c r="BE53" s="135"/>
      <c r="BF53" s="135"/>
      <c r="BG53" s="135"/>
      <c r="BH53" s="135"/>
      <c r="BI53" s="135"/>
      <c r="BJ53" s="135"/>
      <c r="BK53" s="135"/>
      <c r="BL53" s="135"/>
      <c r="BM53" s="389">
        <f t="shared" ref="BM53:BM55" si="132">IF(E53=2026,T53,0)</f>
        <v>0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389">
        <f t="shared" ref="BW53:BW55" si="133">Y53+AI53+AS53+BC53+BM53</f>
        <v>7.1332700340479995</v>
      </c>
      <c r="BX53" s="389">
        <f t="shared" si="124"/>
        <v>0</v>
      </c>
      <c r="BY53" s="389">
        <f t="shared" si="124"/>
        <v>0</v>
      </c>
      <c r="BZ53" s="389">
        <f t="shared" si="124"/>
        <v>7.133</v>
      </c>
      <c r="CA53" s="389">
        <f t="shared" si="124"/>
        <v>0</v>
      </c>
      <c r="CB53" s="135"/>
      <c r="CC53" s="135"/>
      <c r="CD53" s="135"/>
      <c r="CE53" s="135"/>
      <c r="CF53" s="135"/>
      <c r="CG53" s="135"/>
    </row>
    <row r="54" spans="1:85" s="134" customFormat="1" outlineLevel="1" x14ac:dyDescent="0.25">
      <c r="A54" s="14" t="s">
        <v>703</v>
      </c>
      <c r="B54" s="421" t="s">
        <v>706</v>
      </c>
      <c r="C54" s="390" t="s">
        <v>730</v>
      </c>
      <c r="D54" s="390" t="s">
        <v>146</v>
      </c>
      <c r="E54" s="418">
        <v>2024</v>
      </c>
      <c r="F54" s="418">
        <v>2024</v>
      </c>
      <c r="G54" s="124"/>
      <c r="H54" s="389">
        <v>3.9496280000000001</v>
      </c>
      <c r="I54" s="389">
        <f t="shared" si="125"/>
        <v>3.9496280000000001</v>
      </c>
      <c r="J54" s="392">
        <v>44199</v>
      </c>
      <c r="K54" s="124"/>
      <c r="L54" s="124"/>
      <c r="M54" s="126"/>
      <c r="N54" s="124"/>
      <c r="O54" s="124"/>
      <c r="P54" s="389">
        <f t="shared" si="126"/>
        <v>3.9496280000000001</v>
      </c>
      <c r="Q54" s="389">
        <f>P54*Ф17!E15*Ф17!F15*Ф17!G15</f>
        <v>4.5374394127440958</v>
      </c>
      <c r="R54" s="124"/>
      <c r="S54" s="124"/>
      <c r="T54" s="389">
        <f t="shared" si="127"/>
        <v>4.5374394127440958</v>
      </c>
      <c r="U54" s="135"/>
      <c r="V54" s="135"/>
      <c r="W54" s="135"/>
      <c r="X54" s="135"/>
      <c r="Y54" s="389">
        <f t="shared" si="128"/>
        <v>0</v>
      </c>
      <c r="Z54" s="135"/>
      <c r="AA54" s="135"/>
      <c r="AB54" s="135"/>
      <c r="AC54" s="135"/>
      <c r="AD54" s="135"/>
      <c r="AE54" s="135"/>
      <c r="AF54" s="135"/>
      <c r="AG54" s="135"/>
      <c r="AH54" s="135"/>
      <c r="AI54" s="389">
        <f t="shared" si="129"/>
        <v>0</v>
      </c>
      <c r="AJ54" s="135"/>
      <c r="AK54" s="135"/>
      <c r="AL54" s="135"/>
      <c r="AM54" s="135"/>
      <c r="AN54" s="135"/>
      <c r="AO54" s="135"/>
      <c r="AP54" s="135"/>
      <c r="AQ54" s="135"/>
      <c r="AR54" s="135"/>
      <c r="AS54" s="389">
        <f t="shared" si="130"/>
        <v>4.5374394127440958</v>
      </c>
      <c r="AT54" s="135"/>
      <c r="AU54" s="135"/>
      <c r="AV54" s="135">
        <v>4.5369999999999999</v>
      </c>
      <c r="AW54" s="135"/>
      <c r="AX54" s="135"/>
      <c r="AY54" s="135"/>
      <c r="AZ54" s="135"/>
      <c r="BA54" s="135"/>
      <c r="BB54" s="135"/>
      <c r="BC54" s="389">
        <f t="shared" si="131"/>
        <v>0</v>
      </c>
      <c r="BD54" s="135"/>
      <c r="BE54" s="135"/>
      <c r="BF54" s="135"/>
      <c r="BG54" s="135"/>
      <c r="BH54" s="135"/>
      <c r="BI54" s="135"/>
      <c r="BJ54" s="135"/>
      <c r="BK54" s="135"/>
      <c r="BL54" s="135"/>
      <c r="BM54" s="389">
        <f t="shared" si="132"/>
        <v>0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389">
        <f t="shared" si="133"/>
        <v>4.5374394127440958</v>
      </c>
      <c r="BX54" s="389">
        <f t="shared" si="124"/>
        <v>0</v>
      </c>
      <c r="BY54" s="389">
        <f t="shared" si="124"/>
        <v>0</v>
      </c>
      <c r="BZ54" s="389">
        <f t="shared" si="124"/>
        <v>4.5369999999999999</v>
      </c>
      <c r="CA54" s="389">
        <f t="shared" si="124"/>
        <v>0</v>
      </c>
      <c r="CB54" s="135"/>
      <c r="CC54" s="135"/>
      <c r="CD54" s="135"/>
      <c r="CE54" s="135"/>
      <c r="CF54" s="135"/>
      <c r="CG54" s="135"/>
    </row>
    <row r="55" spans="1:85" s="134" customFormat="1" outlineLevel="1" x14ac:dyDescent="0.25">
      <c r="A55" s="14" t="s">
        <v>704</v>
      </c>
      <c r="B55" s="421" t="s">
        <v>706</v>
      </c>
      <c r="C55" s="390" t="s">
        <v>731</v>
      </c>
      <c r="D55" s="390" t="s">
        <v>146</v>
      </c>
      <c r="E55" s="418">
        <v>2025</v>
      </c>
      <c r="F55" s="418">
        <v>2025</v>
      </c>
      <c r="G55" s="124"/>
      <c r="H55" s="389">
        <v>4.5949780000000002</v>
      </c>
      <c r="I55" s="389">
        <f t="shared" si="125"/>
        <v>4.5949780000000002</v>
      </c>
      <c r="J55" s="392">
        <v>44200</v>
      </c>
      <c r="K55" s="124"/>
      <c r="L55" s="124"/>
      <c r="M55" s="126"/>
      <c r="N55" s="124"/>
      <c r="O55" s="124"/>
      <c r="P55" s="389">
        <f t="shared" si="126"/>
        <v>4.5949780000000002</v>
      </c>
      <c r="Q55" s="389">
        <f>P55*Ф17!E15*Ф17!F15*Ф17!G15*Ф17!H15</f>
        <v>5.5269401799240248</v>
      </c>
      <c r="R55" s="124"/>
      <c r="S55" s="124"/>
      <c r="T55" s="389">
        <f t="shared" si="127"/>
        <v>5.5269401799240248</v>
      </c>
      <c r="U55" s="135"/>
      <c r="V55" s="135"/>
      <c r="W55" s="135"/>
      <c r="X55" s="135"/>
      <c r="Y55" s="389">
        <f t="shared" si="128"/>
        <v>0</v>
      </c>
      <c r="Z55" s="135"/>
      <c r="AA55" s="135"/>
      <c r="AB55" s="135"/>
      <c r="AC55" s="135"/>
      <c r="AD55" s="135"/>
      <c r="AE55" s="135"/>
      <c r="AF55" s="135"/>
      <c r="AG55" s="135"/>
      <c r="AH55" s="135"/>
      <c r="AI55" s="389">
        <f t="shared" si="129"/>
        <v>0</v>
      </c>
      <c r="AJ55" s="135"/>
      <c r="AK55" s="135"/>
      <c r="AL55" s="135"/>
      <c r="AM55" s="135"/>
      <c r="AN55" s="135"/>
      <c r="AO55" s="135"/>
      <c r="AP55" s="135"/>
      <c r="AQ55" s="135"/>
      <c r="AR55" s="135"/>
      <c r="AS55" s="389">
        <f t="shared" si="130"/>
        <v>0</v>
      </c>
      <c r="AT55" s="135"/>
      <c r="AU55" s="135"/>
      <c r="AV55" s="135"/>
      <c r="AW55" s="135"/>
      <c r="AX55" s="135"/>
      <c r="AY55" s="135"/>
      <c r="AZ55" s="135"/>
      <c r="BA55" s="135"/>
      <c r="BB55" s="135"/>
      <c r="BC55" s="389">
        <f t="shared" si="131"/>
        <v>5.5269401799240248</v>
      </c>
      <c r="BD55" s="135"/>
      <c r="BE55" s="135"/>
      <c r="BF55" s="135">
        <v>5.5270000000000001</v>
      </c>
      <c r="BG55" s="135"/>
      <c r="BH55" s="135"/>
      <c r="BI55" s="135"/>
      <c r="BJ55" s="135"/>
      <c r="BK55" s="135"/>
      <c r="BL55" s="135"/>
      <c r="BM55" s="389">
        <f t="shared" si="132"/>
        <v>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389">
        <f t="shared" si="133"/>
        <v>5.5269401799240248</v>
      </c>
      <c r="BX55" s="389">
        <f t="shared" si="124"/>
        <v>0</v>
      </c>
      <c r="BY55" s="389">
        <f t="shared" si="124"/>
        <v>0</v>
      </c>
      <c r="BZ55" s="389">
        <f t="shared" si="124"/>
        <v>5.5270000000000001</v>
      </c>
      <c r="CA55" s="389">
        <f t="shared" si="124"/>
        <v>0</v>
      </c>
      <c r="CB55" s="135"/>
      <c r="CC55" s="135"/>
      <c r="CD55" s="135"/>
      <c r="CE55" s="135"/>
      <c r="CF55" s="135"/>
      <c r="CG55" s="135"/>
    </row>
    <row r="56" spans="1:85" s="134" customFormat="1" outlineLevel="1" x14ac:dyDescent="0.25">
      <c r="A56" s="14" t="s">
        <v>705</v>
      </c>
      <c r="B56" s="421" t="s">
        <v>706</v>
      </c>
      <c r="C56" s="390" t="s">
        <v>732</v>
      </c>
      <c r="D56" s="390" t="s">
        <v>146</v>
      </c>
      <c r="E56" s="418">
        <v>2026</v>
      </c>
      <c r="F56" s="418">
        <v>2026</v>
      </c>
      <c r="G56" s="124"/>
      <c r="H56" s="389">
        <v>4.9061950000000003</v>
      </c>
      <c r="I56" s="389">
        <f t="shared" si="125"/>
        <v>4.9061950000000003</v>
      </c>
      <c r="J56" s="392">
        <v>44201</v>
      </c>
      <c r="K56" s="124"/>
      <c r="L56" s="124"/>
      <c r="M56" s="126"/>
      <c r="N56" s="124"/>
      <c r="O56" s="124"/>
      <c r="P56" s="389">
        <f t="shared" si="126"/>
        <v>4.9061950000000003</v>
      </c>
      <c r="Q56" s="389">
        <f>P56*Ф17!E15*Ф17!F15*Ф17!G15*Ф17!H15*Ф17!I15</f>
        <v>6.178638907741524</v>
      </c>
      <c r="R56" s="124"/>
      <c r="S56" s="124"/>
      <c r="T56" s="389">
        <f>Q56</f>
        <v>6.178638907741524</v>
      </c>
      <c r="U56" s="135"/>
      <c r="V56" s="135"/>
      <c r="W56" s="135"/>
      <c r="X56" s="135"/>
      <c r="Y56" s="389">
        <f>IF(E56=2022,T56,0)</f>
        <v>0</v>
      </c>
      <c r="Z56" s="135"/>
      <c r="AA56" s="135"/>
      <c r="AB56" s="135"/>
      <c r="AC56" s="135"/>
      <c r="AD56" s="135"/>
      <c r="AE56" s="135"/>
      <c r="AF56" s="135"/>
      <c r="AG56" s="135"/>
      <c r="AH56" s="135"/>
      <c r="AI56" s="389">
        <f t="shared" si="129"/>
        <v>0</v>
      </c>
      <c r="AJ56" s="135"/>
      <c r="AK56" s="135"/>
      <c r="AL56" s="135"/>
      <c r="AM56" s="135"/>
      <c r="AN56" s="135"/>
      <c r="AO56" s="135"/>
      <c r="AP56" s="135"/>
      <c r="AQ56" s="135"/>
      <c r="AR56" s="135"/>
      <c r="AS56" s="389">
        <f>IF(E56=2024,T56,0)</f>
        <v>0</v>
      </c>
      <c r="AT56" s="135"/>
      <c r="AU56" s="135"/>
      <c r="AV56" s="135"/>
      <c r="AW56" s="135"/>
      <c r="AX56" s="135"/>
      <c r="AY56" s="135"/>
      <c r="AZ56" s="135"/>
      <c r="BA56" s="135"/>
      <c r="BB56" s="135"/>
      <c r="BC56" s="389">
        <f>IF(E56=2025,T56,0)</f>
        <v>0</v>
      </c>
      <c r="BD56" s="135"/>
      <c r="BE56" s="135"/>
      <c r="BF56" s="135"/>
      <c r="BG56" s="135"/>
      <c r="BH56" s="135"/>
      <c r="BI56" s="135"/>
      <c r="BJ56" s="135"/>
      <c r="BK56" s="135"/>
      <c r="BL56" s="135"/>
      <c r="BM56" s="389">
        <f>IF(E56=2026,T56,0)</f>
        <v>6.178638907741524</v>
      </c>
      <c r="BN56" s="135"/>
      <c r="BO56" s="135"/>
      <c r="BP56" s="135">
        <v>6.1790000000000003</v>
      </c>
      <c r="BQ56" s="135"/>
      <c r="BR56" s="135"/>
      <c r="BS56" s="135"/>
      <c r="BT56" s="135"/>
      <c r="BU56" s="135"/>
      <c r="BV56" s="135"/>
      <c r="BW56" s="389">
        <f>Y56+AI56+AS56+BC56+BM56</f>
        <v>6.178638907741524</v>
      </c>
      <c r="BX56" s="389">
        <f t="shared" si="124"/>
        <v>0</v>
      </c>
      <c r="BY56" s="389">
        <f t="shared" si="124"/>
        <v>0</v>
      </c>
      <c r="BZ56" s="389">
        <f t="shared" si="124"/>
        <v>6.1790000000000003</v>
      </c>
      <c r="CA56" s="389">
        <f t="shared" si="124"/>
        <v>0</v>
      </c>
      <c r="CB56" s="135"/>
      <c r="CC56" s="135"/>
      <c r="CD56" s="135"/>
      <c r="CE56" s="135"/>
      <c r="CF56" s="135"/>
      <c r="CG56" s="135"/>
    </row>
    <row r="57" spans="1:85" s="134" customFormat="1" ht="31.5" outlineLevel="1" x14ac:dyDescent="0.25">
      <c r="A57" s="14" t="s">
        <v>120</v>
      </c>
      <c r="B57" s="11" t="s">
        <v>49</v>
      </c>
      <c r="C57" s="124"/>
      <c r="D57" s="124"/>
      <c r="E57" s="125"/>
      <c r="F57" s="125"/>
      <c r="G57" s="124"/>
      <c r="H57" s="124"/>
      <c r="I57" s="124"/>
      <c r="J57" s="126"/>
      <c r="K57" s="124"/>
      <c r="L57" s="124"/>
      <c r="M57" s="126"/>
      <c r="N57" s="124"/>
      <c r="O57" s="124"/>
      <c r="P57" s="124"/>
      <c r="Q57" s="124"/>
      <c r="R57" s="124"/>
      <c r="S57" s="124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</row>
    <row r="58" spans="1:85" s="134" customFormat="1" outlineLevel="1" x14ac:dyDescent="0.25">
      <c r="A58" s="14" t="s">
        <v>50</v>
      </c>
      <c r="B58" s="11" t="s">
        <v>51</v>
      </c>
      <c r="C58" s="124"/>
      <c r="D58" s="124"/>
      <c r="E58" s="125"/>
      <c r="F58" s="125"/>
      <c r="G58" s="124"/>
      <c r="H58" s="124"/>
      <c r="I58" s="124"/>
      <c r="J58" s="126"/>
      <c r="K58" s="124"/>
      <c r="L58" s="124"/>
      <c r="M58" s="126"/>
      <c r="N58" s="124"/>
      <c r="O58" s="124"/>
      <c r="P58" s="124"/>
      <c r="Q58" s="124"/>
      <c r="R58" s="124"/>
      <c r="S58" s="12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</row>
    <row r="59" spans="1:85" s="134" customFormat="1" ht="31.5" outlineLevel="1" x14ac:dyDescent="0.25">
      <c r="A59" s="14" t="s">
        <v>52</v>
      </c>
      <c r="B59" s="11" t="s">
        <v>53</v>
      </c>
      <c r="C59" s="124"/>
      <c r="D59" s="124"/>
      <c r="E59" s="125"/>
      <c r="F59" s="125"/>
      <c r="G59" s="124"/>
      <c r="H59" s="124"/>
      <c r="I59" s="124"/>
      <c r="J59" s="126"/>
      <c r="K59" s="124"/>
      <c r="L59" s="124"/>
      <c r="M59" s="126"/>
      <c r="N59" s="124"/>
      <c r="O59" s="124"/>
      <c r="P59" s="124"/>
      <c r="Q59" s="124"/>
      <c r="R59" s="124"/>
      <c r="S59" s="124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</row>
    <row r="60" spans="1:85" s="134" customFormat="1" ht="31.5" x14ac:dyDescent="0.25">
      <c r="A60" s="14" t="s">
        <v>54</v>
      </c>
      <c r="B60" s="11" t="s">
        <v>55</v>
      </c>
      <c r="C60" s="124"/>
      <c r="D60" s="124"/>
      <c r="E60" s="125"/>
      <c r="F60" s="125"/>
      <c r="G60" s="124"/>
      <c r="H60" s="124">
        <f>H61</f>
        <v>0</v>
      </c>
      <c r="I60" s="124">
        <f t="shared" ref="I60:L60" si="134">I61</f>
        <v>0</v>
      </c>
      <c r="J60" s="124">
        <f t="shared" si="134"/>
        <v>0</v>
      </c>
      <c r="K60" s="124">
        <f t="shared" si="134"/>
        <v>0</v>
      </c>
      <c r="L60" s="124">
        <f t="shared" si="134"/>
        <v>0</v>
      </c>
      <c r="M60" s="126" t="s">
        <v>121</v>
      </c>
      <c r="N60" s="124">
        <f t="shared" ref="N60:S60" si="135">N61</f>
        <v>0</v>
      </c>
      <c r="O60" s="124">
        <f t="shared" si="135"/>
        <v>0</v>
      </c>
      <c r="P60" s="124">
        <f t="shared" si="135"/>
        <v>0</v>
      </c>
      <c r="Q60" s="124">
        <f t="shared" si="135"/>
        <v>0</v>
      </c>
      <c r="R60" s="124">
        <f t="shared" si="135"/>
        <v>0</v>
      </c>
      <c r="S60" s="124">
        <f t="shared" si="135"/>
        <v>0</v>
      </c>
      <c r="T60" s="124">
        <f t="shared" ref="T60" si="136">T61</f>
        <v>0</v>
      </c>
      <c r="U60" s="124">
        <f t="shared" ref="U60" si="137">U61</f>
        <v>0</v>
      </c>
      <c r="V60" s="124">
        <f t="shared" ref="V60" si="138">V61</f>
        <v>0</v>
      </c>
      <c r="W60" s="124">
        <f t="shared" ref="W60" si="139">W61</f>
        <v>0</v>
      </c>
      <c r="X60" s="124">
        <f t="shared" ref="X60" si="140">X61</f>
        <v>0</v>
      </c>
      <c r="Y60" s="124">
        <f t="shared" ref="Y60" si="141">Y61</f>
        <v>0</v>
      </c>
      <c r="Z60" s="124">
        <f t="shared" ref="Z60" si="142">Z61</f>
        <v>0</v>
      </c>
      <c r="AA60" s="124">
        <f t="shared" ref="AA60" si="143">AA61</f>
        <v>0</v>
      </c>
      <c r="AB60" s="124">
        <f t="shared" ref="AB60" si="144">AB61</f>
        <v>0</v>
      </c>
      <c r="AC60" s="124">
        <f t="shared" ref="AC60" si="145">AC61</f>
        <v>0</v>
      </c>
      <c r="AD60" s="124">
        <f t="shared" ref="AD60" si="146">AD61</f>
        <v>0</v>
      </c>
      <c r="AE60" s="124">
        <f t="shared" ref="AE60" si="147">AE61</f>
        <v>0</v>
      </c>
      <c r="AF60" s="124">
        <f t="shared" ref="AF60" si="148">AF61</f>
        <v>0</v>
      </c>
      <c r="AG60" s="124">
        <f t="shared" ref="AG60" si="149">AG61</f>
        <v>0</v>
      </c>
      <c r="AH60" s="124">
        <f t="shared" ref="AH60" si="150">AH61</f>
        <v>0</v>
      </c>
      <c r="AI60" s="124">
        <f>AI61</f>
        <v>0</v>
      </c>
      <c r="AJ60" s="124">
        <f t="shared" ref="AJ60" si="151">AJ61</f>
        <v>0</v>
      </c>
      <c r="AK60" s="124">
        <f t="shared" ref="AK60" si="152">AK61</f>
        <v>0</v>
      </c>
      <c r="AL60" s="124">
        <f t="shared" ref="AL60" si="153">AL61</f>
        <v>0</v>
      </c>
      <c r="AM60" s="124">
        <f t="shared" ref="AM60" si="154">AM61</f>
        <v>0</v>
      </c>
      <c r="AN60" s="124">
        <f t="shared" ref="AN60" si="155">AN61</f>
        <v>0</v>
      </c>
      <c r="AO60" s="124">
        <f t="shared" ref="AO60" si="156">AO61</f>
        <v>0</v>
      </c>
      <c r="AP60" s="124">
        <f t="shared" ref="AP60" si="157">AP61</f>
        <v>0</v>
      </c>
      <c r="AQ60" s="124">
        <f t="shared" ref="AQ60" si="158">AQ61</f>
        <v>0</v>
      </c>
      <c r="AR60" s="124">
        <f t="shared" ref="AR60" si="159">AR61</f>
        <v>0</v>
      </c>
      <c r="AS60" s="124">
        <f t="shared" ref="AS60" si="160">AS61</f>
        <v>0</v>
      </c>
      <c r="AT60" s="124">
        <f t="shared" ref="AT60" si="161">AT61</f>
        <v>0</v>
      </c>
      <c r="AU60" s="124">
        <f t="shared" ref="AU60" si="162">AU61</f>
        <v>0</v>
      </c>
      <c r="AV60" s="124">
        <f t="shared" ref="AV60" si="163">AV61</f>
        <v>0</v>
      </c>
      <c r="AW60" s="124">
        <f t="shared" ref="AW60" si="164">AW61</f>
        <v>0</v>
      </c>
      <c r="AX60" s="124">
        <f t="shared" ref="AX60" si="165">AX61</f>
        <v>0</v>
      </c>
      <c r="AY60" s="124">
        <f t="shared" ref="AY60" si="166">AY61</f>
        <v>0</v>
      </c>
      <c r="AZ60" s="124">
        <f t="shared" ref="AZ60" si="167">AZ61</f>
        <v>0</v>
      </c>
      <c r="BA60" s="124">
        <f t="shared" ref="BA60" si="168">BA61</f>
        <v>0</v>
      </c>
      <c r="BB60" s="124">
        <f t="shared" ref="BB60:BV60" si="169">BB61</f>
        <v>0</v>
      </c>
      <c r="BC60" s="124">
        <f t="shared" si="169"/>
        <v>0</v>
      </c>
      <c r="BD60" s="124">
        <f t="shared" si="169"/>
        <v>0</v>
      </c>
      <c r="BE60" s="124">
        <f t="shared" si="169"/>
        <v>0</v>
      </c>
      <c r="BF60" s="124">
        <f t="shared" si="169"/>
        <v>0</v>
      </c>
      <c r="BG60" s="124">
        <f t="shared" si="169"/>
        <v>0</v>
      </c>
      <c r="BH60" s="124">
        <f t="shared" si="169"/>
        <v>0</v>
      </c>
      <c r="BI60" s="124">
        <f t="shared" si="169"/>
        <v>0</v>
      </c>
      <c r="BJ60" s="124">
        <f t="shared" si="169"/>
        <v>0</v>
      </c>
      <c r="BK60" s="124">
        <f t="shared" si="169"/>
        <v>0</v>
      </c>
      <c r="BL60" s="124">
        <f t="shared" si="169"/>
        <v>0</v>
      </c>
      <c r="BM60" s="124">
        <f t="shared" si="169"/>
        <v>0</v>
      </c>
      <c r="BN60" s="124">
        <f t="shared" si="169"/>
        <v>0</v>
      </c>
      <c r="BO60" s="124">
        <f t="shared" si="169"/>
        <v>0</v>
      </c>
      <c r="BP60" s="124">
        <f t="shared" si="169"/>
        <v>0</v>
      </c>
      <c r="BQ60" s="124">
        <f t="shared" si="169"/>
        <v>0</v>
      </c>
      <c r="BR60" s="124">
        <f t="shared" si="169"/>
        <v>0</v>
      </c>
      <c r="BS60" s="124">
        <f t="shared" si="169"/>
        <v>0</v>
      </c>
      <c r="BT60" s="124">
        <f t="shared" si="169"/>
        <v>0</v>
      </c>
      <c r="BU60" s="124">
        <f t="shared" si="169"/>
        <v>0</v>
      </c>
      <c r="BV60" s="124">
        <f t="shared" si="169"/>
        <v>0</v>
      </c>
      <c r="BW60" s="124">
        <f t="shared" ref="BW60" si="170">BW61</f>
        <v>0</v>
      </c>
      <c r="BX60" s="124">
        <f t="shared" ref="BX60" si="171">BX61</f>
        <v>0</v>
      </c>
      <c r="BY60" s="124">
        <f t="shared" ref="BY60" si="172">BY61</f>
        <v>0</v>
      </c>
      <c r="BZ60" s="124">
        <f t="shared" ref="BZ60" si="173">BZ61</f>
        <v>0</v>
      </c>
      <c r="CA60" s="124">
        <f t="shared" ref="CA60" si="174">CA61</f>
        <v>0</v>
      </c>
      <c r="CB60" s="124">
        <f t="shared" ref="CB60" si="175">CB61</f>
        <v>0</v>
      </c>
      <c r="CC60" s="124">
        <f t="shared" ref="CC60" si="176">CC61</f>
        <v>0</v>
      </c>
      <c r="CD60" s="124">
        <f t="shared" ref="CD60" si="177">CD61</f>
        <v>0</v>
      </c>
      <c r="CE60" s="124">
        <f t="shared" ref="CE60" si="178">CE61</f>
        <v>0</v>
      </c>
      <c r="CF60" s="124">
        <f t="shared" ref="CF60" si="179">CF61</f>
        <v>0</v>
      </c>
      <c r="CG60" s="124"/>
    </row>
    <row r="61" spans="1:85" s="353" customFormat="1" x14ac:dyDescent="0.25">
      <c r="A61" s="14"/>
      <c r="B61" s="11"/>
      <c r="C61" s="127"/>
      <c r="D61" s="127"/>
      <c r="E61" s="350"/>
      <c r="F61" s="350"/>
      <c r="G61" s="354"/>
      <c r="H61" s="127"/>
      <c r="I61" s="127"/>
      <c r="J61" s="180"/>
      <c r="K61" s="127"/>
      <c r="L61" s="127"/>
      <c r="M61" s="180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357"/>
      <c r="CC61" s="358"/>
      <c r="CD61" s="358"/>
      <c r="CE61" s="357"/>
      <c r="CF61" s="357"/>
      <c r="CG61" s="351"/>
    </row>
    <row r="62" spans="1:85" s="134" customFormat="1" ht="31.5" hidden="1" outlineLevel="1" x14ac:dyDescent="0.25">
      <c r="A62" s="14" t="s">
        <v>56</v>
      </c>
      <c r="B62" s="11" t="s">
        <v>57</v>
      </c>
      <c r="C62" s="127"/>
      <c r="D62" s="127"/>
      <c r="E62" s="125"/>
      <c r="F62" s="125"/>
      <c r="G62" s="127"/>
      <c r="H62" s="124"/>
      <c r="I62" s="124"/>
      <c r="J62" s="126"/>
      <c r="K62" s="127"/>
      <c r="L62" s="127"/>
      <c r="M62" s="180"/>
      <c r="N62" s="127"/>
      <c r="O62" s="127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98"/>
    </row>
    <row r="63" spans="1:85" ht="31.5" hidden="1" outlineLevel="1" x14ac:dyDescent="0.25">
      <c r="A63" s="14" t="s">
        <v>58</v>
      </c>
      <c r="B63" s="11" t="s">
        <v>59</v>
      </c>
      <c r="C63" s="17"/>
      <c r="D63" s="17"/>
      <c r="E63" s="47"/>
      <c r="F63" s="47"/>
      <c r="G63" s="17"/>
      <c r="H63" s="17"/>
      <c r="I63" s="17"/>
      <c r="J63" s="52"/>
      <c r="K63" s="17"/>
      <c r="L63" s="17"/>
      <c r="M63" s="52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274"/>
    </row>
    <row r="64" spans="1:85" ht="31.5" hidden="1" outlineLevel="1" x14ac:dyDescent="0.25">
      <c r="A64" s="14" t="s">
        <v>60</v>
      </c>
      <c r="B64" s="11" t="s">
        <v>61</v>
      </c>
      <c r="C64" s="17"/>
      <c r="D64" s="17"/>
      <c r="E64" s="47"/>
      <c r="F64" s="47"/>
      <c r="G64" s="17"/>
      <c r="H64" s="17"/>
      <c r="I64" s="17"/>
      <c r="J64" s="52"/>
      <c r="K64" s="17"/>
      <c r="L64" s="17"/>
      <c r="M64" s="52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274"/>
    </row>
    <row r="65" spans="1:85" s="25" customFormat="1" ht="31.5" hidden="1" outlineLevel="1" x14ac:dyDescent="0.25">
      <c r="A65" s="22" t="s">
        <v>62</v>
      </c>
      <c r="B65" s="264" t="s">
        <v>63</v>
      </c>
      <c r="C65" s="24"/>
      <c r="D65" s="24"/>
      <c r="E65" s="48"/>
      <c r="F65" s="48"/>
      <c r="G65" s="24"/>
      <c r="H65" s="24"/>
      <c r="I65" s="24"/>
      <c r="J65" s="53"/>
      <c r="K65" s="24"/>
      <c r="L65" s="24"/>
      <c r="M65" s="5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75"/>
    </row>
    <row r="66" spans="1:85" hidden="1" outlineLevel="1" x14ac:dyDescent="0.25">
      <c r="A66" s="14" t="s">
        <v>64</v>
      </c>
      <c r="B66" s="11" t="s">
        <v>65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274"/>
    </row>
    <row r="67" spans="1:85" ht="31.5" hidden="1" outlineLevel="1" x14ac:dyDescent="0.25">
      <c r="A67" s="14" t="s">
        <v>66</v>
      </c>
      <c r="B67" s="11" t="s">
        <v>67</v>
      </c>
      <c r="C67" s="17"/>
      <c r="D67" s="17"/>
      <c r="E67" s="47"/>
      <c r="F67" s="47"/>
      <c r="G67" s="17"/>
      <c r="H67" s="17"/>
      <c r="I67" s="17"/>
      <c r="J67" s="52"/>
      <c r="K67" s="17"/>
      <c r="L67" s="17"/>
      <c r="M67" s="52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274"/>
    </row>
    <row r="68" spans="1:85" s="28" customFormat="1" ht="47.25" hidden="1" outlineLevel="1" collapsed="1" x14ac:dyDescent="0.25">
      <c r="A68" s="20" t="s">
        <v>68</v>
      </c>
      <c r="B68" s="265" t="s">
        <v>69</v>
      </c>
      <c r="C68" s="27"/>
      <c r="D68" s="27"/>
      <c r="E68" s="49"/>
      <c r="F68" s="49"/>
      <c r="G68" s="27"/>
      <c r="H68" s="27"/>
      <c r="I68" s="27"/>
      <c r="J68" s="54"/>
      <c r="K68" s="27"/>
      <c r="L68" s="27"/>
      <c r="M68" s="54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6"/>
    </row>
    <row r="69" spans="1:85" s="25" customFormat="1" ht="31.5" hidden="1" outlineLevel="1" x14ac:dyDescent="0.25">
      <c r="A69" s="22" t="s">
        <v>70</v>
      </c>
      <c r="B69" s="264" t="s">
        <v>71</v>
      </c>
      <c r="C69" s="24"/>
      <c r="D69" s="24"/>
      <c r="E69" s="48"/>
      <c r="F69" s="48"/>
      <c r="G69" s="24"/>
      <c r="H69" s="24"/>
      <c r="I69" s="24"/>
      <c r="J69" s="53"/>
      <c r="K69" s="24"/>
      <c r="L69" s="24"/>
      <c r="M69" s="5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75"/>
    </row>
    <row r="70" spans="1:85" s="25" customFormat="1" ht="31.5" hidden="1" outlineLevel="1" x14ac:dyDescent="0.25">
      <c r="A70" s="22" t="s">
        <v>72</v>
      </c>
      <c r="B70" s="264" t="s">
        <v>73</v>
      </c>
      <c r="C70" s="24"/>
      <c r="D70" s="24"/>
      <c r="E70" s="48"/>
      <c r="F70" s="48"/>
      <c r="G70" s="24"/>
      <c r="H70" s="24"/>
      <c r="I70" s="24"/>
      <c r="J70" s="53"/>
      <c r="K70" s="24"/>
      <c r="L70" s="24"/>
      <c r="M70" s="53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75"/>
    </row>
    <row r="71" spans="1:85" s="273" customFormat="1" ht="21" customHeight="1" collapsed="1" x14ac:dyDescent="0.25">
      <c r="A71" s="20" t="s">
        <v>528</v>
      </c>
      <c r="B71" s="265" t="s">
        <v>529</v>
      </c>
      <c r="C71" s="268"/>
      <c r="D71" s="268"/>
      <c r="E71" s="269"/>
      <c r="F71" s="269"/>
      <c r="G71" s="268"/>
      <c r="H71" s="113">
        <f>SUM(H72:H73)</f>
        <v>11.698083333333335</v>
      </c>
      <c r="I71" s="113">
        <f>SUM(I72:I73)</f>
        <v>11.698083333333335</v>
      </c>
      <c r="J71" s="270"/>
      <c r="K71" s="113">
        <f t="shared" ref="K71:L71" si="180">K72</f>
        <v>0</v>
      </c>
      <c r="L71" s="113">
        <f t="shared" si="180"/>
        <v>0</v>
      </c>
      <c r="M71" s="271"/>
      <c r="N71" s="268"/>
      <c r="O71" s="268"/>
      <c r="P71" s="272">
        <f>SUM(P72:P73)</f>
        <v>11.698083333333335</v>
      </c>
      <c r="Q71" s="272">
        <f>SUM(Q72:Q73)</f>
        <v>13.71471816984492</v>
      </c>
      <c r="R71" s="272">
        <f t="shared" ref="R71:X71" si="181">SUM(R72:R73)</f>
        <v>0</v>
      </c>
      <c r="S71" s="272">
        <f t="shared" si="181"/>
        <v>0</v>
      </c>
      <c r="T71" s="272">
        <f t="shared" si="181"/>
        <v>13.71471816984492</v>
      </c>
      <c r="U71" s="272">
        <f t="shared" si="181"/>
        <v>0</v>
      </c>
      <c r="V71" s="272">
        <f t="shared" si="181"/>
        <v>0</v>
      </c>
      <c r="W71" s="272">
        <f t="shared" si="181"/>
        <v>0</v>
      </c>
      <c r="X71" s="272">
        <f t="shared" si="181"/>
        <v>0</v>
      </c>
      <c r="Y71" s="113">
        <f t="shared" ref="Y71:Z71" si="182">Y72</f>
        <v>0</v>
      </c>
      <c r="Z71" s="113">
        <f t="shared" si="182"/>
        <v>0</v>
      </c>
      <c r="AA71" s="272">
        <f t="shared" ref="AA71:AR71" si="183">SUM(AA72:AA73)</f>
        <v>0</v>
      </c>
      <c r="AB71" s="272">
        <f t="shared" si="183"/>
        <v>0</v>
      </c>
      <c r="AC71" s="272">
        <f t="shared" si="183"/>
        <v>0</v>
      </c>
      <c r="AD71" s="272">
        <f t="shared" si="183"/>
        <v>0</v>
      </c>
      <c r="AE71" s="272">
        <f t="shared" si="183"/>
        <v>0</v>
      </c>
      <c r="AF71" s="272">
        <f t="shared" si="183"/>
        <v>0</v>
      </c>
      <c r="AG71" s="272">
        <f t="shared" si="183"/>
        <v>0</v>
      </c>
      <c r="AH71" s="272">
        <f t="shared" si="183"/>
        <v>0</v>
      </c>
      <c r="AI71" s="272">
        <f t="shared" si="183"/>
        <v>0</v>
      </c>
      <c r="AJ71" s="272">
        <f t="shared" si="183"/>
        <v>0</v>
      </c>
      <c r="AK71" s="272">
        <f t="shared" si="183"/>
        <v>0</v>
      </c>
      <c r="AL71" s="272">
        <f t="shared" si="183"/>
        <v>0</v>
      </c>
      <c r="AM71" s="272">
        <f t="shared" si="183"/>
        <v>0</v>
      </c>
      <c r="AN71" s="272">
        <f t="shared" si="183"/>
        <v>0</v>
      </c>
      <c r="AO71" s="272">
        <f t="shared" si="183"/>
        <v>0</v>
      </c>
      <c r="AP71" s="272">
        <f t="shared" si="183"/>
        <v>0</v>
      </c>
      <c r="AQ71" s="272">
        <f t="shared" si="183"/>
        <v>0</v>
      </c>
      <c r="AR71" s="272">
        <f t="shared" si="183"/>
        <v>0</v>
      </c>
      <c r="AS71" s="272">
        <f>SUM(AS72:AS73)</f>
        <v>7.5743123575620004</v>
      </c>
      <c r="AT71" s="272">
        <f t="shared" ref="AT71" si="184">SUM(AT72:AT73)</f>
        <v>0</v>
      </c>
      <c r="AU71" s="272">
        <f t="shared" ref="AU71" si="185">SUM(AU72:AU73)</f>
        <v>0</v>
      </c>
      <c r="AV71" s="272">
        <f t="shared" ref="AV71" si="186">SUM(AV72:AV73)</f>
        <v>2.2639999999999998</v>
      </c>
      <c r="AW71" s="272">
        <f t="shared" ref="AW71" si="187">SUM(AW72:AW73)</f>
        <v>5.31</v>
      </c>
      <c r="AX71" s="272">
        <f t="shared" ref="AX71" si="188">SUM(AX72:AX73)</f>
        <v>0</v>
      </c>
      <c r="AY71" s="272">
        <f t="shared" ref="AY71" si="189">SUM(AY72:AY73)</f>
        <v>0</v>
      </c>
      <c r="AZ71" s="272">
        <f t="shared" ref="AZ71" si="190">SUM(AZ72:AZ73)</f>
        <v>0</v>
      </c>
      <c r="BA71" s="272">
        <f t="shared" ref="BA71" si="191">SUM(BA72:BA73)</f>
        <v>0</v>
      </c>
      <c r="BB71" s="272">
        <f t="shared" ref="BB71" si="192">SUM(BB72:BB73)</f>
        <v>0</v>
      </c>
      <c r="BC71" s="272">
        <f t="shared" ref="BC71" si="193">SUM(BC72:BC73)</f>
        <v>6.1404058122829195</v>
      </c>
      <c r="BD71" s="272">
        <f t="shared" ref="BD71" si="194">SUM(BD72:BD73)</f>
        <v>0</v>
      </c>
      <c r="BE71" s="272">
        <f t="shared" ref="BE71" si="195">SUM(BE72:BE73)</f>
        <v>0</v>
      </c>
      <c r="BF71" s="272">
        <f t="shared" ref="BF71" si="196">SUM(BF72:BF73)</f>
        <v>1.5649999999999999</v>
      </c>
      <c r="BG71" s="272">
        <f t="shared" ref="BG71" si="197">SUM(BG72:BG73)</f>
        <v>4.5750000000000002</v>
      </c>
      <c r="BH71" s="272">
        <f t="shared" ref="BH71" si="198">SUM(BH72:BH73)</f>
        <v>0</v>
      </c>
      <c r="BI71" s="272">
        <f t="shared" ref="BI71" si="199">SUM(BI72:BI73)</f>
        <v>0</v>
      </c>
      <c r="BJ71" s="272">
        <f t="shared" ref="BJ71" si="200">SUM(BJ72:BJ73)</f>
        <v>0</v>
      </c>
      <c r="BK71" s="272">
        <f t="shared" ref="BK71:BL71" si="201">SUM(BK72:BK73)</f>
        <v>0</v>
      </c>
      <c r="BL71" s="272">
        <f t="shared" si="201"/>
        <v>0</v>
      </c>
      <c r="BM71" s="272">
        <f t="shared" ref="BM71" si="202">SUM(BM72:BM73)</f>
        <v>0</v>
      </c>
      <c r="BN71" s="272">
        <f t="shared" ref="BN71" si="203">SUM(BN72:BN73)</f>
        <v>0</v>
      </c>
      <c r="BO71" s="272">
        <f t="shared" ref="BO71" si="204">SUM(BO72:BO73)</f>
        <v>0</v>
      </c>
      <c r="BP71" s="272">
        <f t="shared" ref="BP71" si="205">SUM(BP72:BP73)</f>
        <v>0</v>
      </c>
      <c r="BQ71" s="272">
        <f t="shared" ref="BQ71" si="206">SUM(BQ72:BQ73)</f>
        <v>0</v>
      </c>
      <c r="BR71" s="272">
        <f t="shared" ref="BR71" si="207">SUM(BR72:BR73)</f>
        <v>0</v>
      </c>
      <c r="BS71" s="272">
        <f t="shared" ref="BS71" si="208">SUM(BS72:BS73)</f>
        <v>0</v>
      </c>
      <c r="BT71" s="272">
        <f t="shared" ref="BT71" si="209">SUM(BT72:BT73)</f>
        <v>0</v>
      </c>
      <c r="BU71" s="272">
        <f t="shared" ref="BU71" si="210">SUM(BU72:BU73)</f>
        <v>0</v>
      </c>
      <c r="BV71" s="272">
        <f t="shared" ref="BV71" si="211">SUM(BV72:BV73)</f>
        <v>0</v>
      </c>
      <c r="BW71" s="272">
        <f t="shared" ref="BW71" si="212">SUM(BW72:BW73)</f>
        <v>13.71471816984492</v>
      </c>
      <c r="BX71" s="272">
        <f t="shared" ref="BX71" si="213">SUM(BX72:BX73)</f>
        <v>0</v>
      </c>
      <c r="BY71" s="272">
        <f t="shared" ref="BY71" si="214">SUM(BY72:BY73)</f>
        <v>0</v>
      </c>
      <c r="BZ71" s="272">
        <f t="shared" ref="BZ71" si="215">SUM(BZ72:BZ73)</f>
        <v>3.8289999999999997</v>
      </c>
      <c r="CA71" s="272">
        <f t="shared" ref="CA71" si="216">SUM(CA72:CA73)</f>
        <v>9.8849999999999998</v>
      </c>
      <c r="CB71" s="272">
        <f t="shared" ref="CB71" si="217">SUM(CB72:CB73)</f>
        <v>0</v>
      </c>
      <c r="CC71" s="272">
        <f t="shared" ref="CC71" si="218">SUM(CC72:CC73)</f>
        <v>0</v>
      </c>
      <c r="CD71" s="272">
        <f t="shared" ref="CD71:CE71" si="219">SUM(CD72:CD73)</f>
        <v>0</v>
      </c>
      <c r="CE71" s="272">
        <f t="shared" si="219"/>
        <v>0</v>
      </c>
      <c r="CF71" s="272">
        <f t="shared" ref="CF71" si="220">SUM(CF72:CF73)</f>
        <v>0</v>
      </c>
      <c r="CG71" s="277"/>
    </row>
    <row r="72" spans="1:85" s="345" customFormat="1" ht="19.5" customHeight="1" x14ac:dyDescent="0.25">
      <c r="A72" s="341" t="s">
        <v>530</v>
      </c>
      <c r="B72" s="419" t="s">
        <v>708</v>
      </c>
      <c r="C72" s="390" t="s">
        <v>733</v>
      </c>
      <c r="D72" s="389">
        <v>0</v>
      </c>
      <c r="E72" s="420">
        <v>2024</v>
      </c>
      <c r="F72" s="420">
        <v>2024</v>
      </c>
      <c r="G72" s="354"/>
      <c r="H72" s="389">
        <v>6.5930833333333343</v>
      </c>
      <c r="I72" s="389">
        <f>H72</f>
        <v>6.5930833333333343</v>
      </c>
      <c r="J72" s="392">
        <v>44200</v>
      </c>
      <c r="K72" s="127"/>
      <c r="L72" s="127"/>
      <c r="M72" s="180"/>
      <c r="N72" s="358"/>
      <c r="O72" s="358"/>
      <c r="P72" s="389">
        <f>H72</f>
        <v>6.5930833333333343</v>
      </c>
      <c r="Q72" s="389">
        <f>P72*Ф17!E15*Ф17!F15*Ф17!G15</f>
        <v>7.5743123575620004</v>
      </c>
      <c r="R72" s="127">
        <f>L72</f>
        <v>0</v>
      </c>
      <c r="S72" s="127">
        <f>R72*Ф17!F15</f>
        <v>0</v>
      </c>
      <c r="T72" s="389">
        <f t="shared" ref="T72" si="221">Q72</f>
        <v>7.5743123575620004</v>
      </c>
      <c r="U72" s="127">
        <f>S72</f>
        <v>0</v>
      </c>
      <c r="V72" s="127"/>
      <c r="W72" s="127"/>
      <c r="X72" s="127"/>
      <c r="Y72" s="389">
        <f t="shared" ref="Y72" si="222">IF(E72=2022,T72,0)</f>
        <v>0</v>
      </c>
      <c r="Z72" s="127"/>
      <c r="AA72" s="127"/>
      <c r="AB72" s="127"/>
      <c r="AC72" s="127"/>
      <c r="AD72" s="127"/>
      <c r="AE72" s="127"/>
      <c r="AF72" s="127"/>
      <c r="AG72" s="127"/>
      <c r="AH72" s="127"/>
      <c r="AI72" s="389">
        <f t="shared" ref="AI72:AI73" si="223">IF(F72=2023,T72,0)</f>
        <v>0</v>
      </c>
      <c r="AJ72" s="127"/>
      <c r="AK72" s="127"/>
      <c r="AL72" s="127">
        <f>AI72-AM72</f>
        <v>0</v>
      </c>
      <c r="AM72" s="127">
        <v>0</v>
      </c>
      <c r="AN72" s="127">
        <f>U72</f>
        <v>0</v>
      </c>
      <c r="AO72" s="127"/>
      <c r="AP72" s="127"/>
      <c r="AQ72" s="127">
        <v>0</v>
      </c>
      <c r="AR72" s="127">
        <v>0</v>
      </c>
      <c r="AS72" s="389">
        <f t="shared" ref="AS72" si="224">IF(E72=2024,T72,0)</f>
        <v>7.5743123575620004</v>
      </c>
      <c r="AT72" s="127"/>
      <c r="AU72" s="358"/>
      <c r="AV72" s="358">
        <v>2.2639999999999998</v>
      </c>
      <c r="AW72" s="358">
        <v>5.31</v>
      </c>
      <c r="AX72" s="358"/>
      <c r="AY72" s="358"/>
      <c r="AZ72" s="358"/>
      <c r="BA72" s="358"/>
      <c r="BB72" s="358"/>
      <c r="BC72" s="389">
        <f t="shared" ref="BC72" si="225">IF(E72=2025,T72,0)</f>
        <v>0</v>
      </c>
      <c r="BD72" s="127"/>
      <c r="BE72" s="358"/>
      <c r="BF72" s="358"/>
      <c r="BG72" s="358"/>
      <c r="BH72" s="358"/>
      <c r="BI72" s="358"/>
      <c r="BJ72" s="358"/>
      <c r="BK72" s="358"/>
      <c r="BL72" s="358"/>
      <c r="BM72" s="389">
        <f t="shared" ref="BM72" si="226">IF(E72=2026,T72,0)</f>
        <v>0</v>
      </c>
      <c r="BN72" s="127"/>
      <c r="BO72" s="358"/>
      <c r="BP72" s="358"/>
      <c r="BQ72" s="358"/>
      <c r="BR72" s="358"/>
      <c r="BS72" s="358"/>
      <c r="BT72" s="358"/>
      <c r="BU72" s="358"/>
      <c r="BV72" s="358"/>
      <c r="BW72" s="389">
        <f t="shared" ref="BW72" si="227">Y72+AI72+AS72+BC72+BM72</f>
        <v>7.5743123575620004</v>
      </c>
      <c r="BX72" s="389">
        <f t="shared" ref="BX72:BX73" si="228">Z72+AJ72+AT72+BD72+BN72</f>
        <v>0</v>
      </c>
      <c r="BY72" s="389">
        <f t="shared" ref="BY72:BY73" si="229">AA72+AK72+AU72+BE72+BO72</f>
        <v>0</v>
      </c>
      <c r="BZ72" s="389">
        <f t="shared" ref="BZ72:BZ73" si="230">AB72+AL72+AV72+BF72+BP72</f>
        <v>2.2639999999999998</v>
      </c>
      <c r="CA72" s="389">
        <f t="shared" ref="CA72:CA73" si="231">AC72+AM72+AW72+BG72+BQ72</f>
        <v>5.31</v>
      </c>
      <c r="CB72" s="364">
        <f>AN72</f>
        <v>0</v>
      </c>
      <c r="CC72" s="364">
        <f t="shared" ref="CC72:CF72" si="232">AO72</f>
        <v>0</v>
      </c>
      <c r="CD72" s="364">
        <f t="shared" si="232"/>
        <v>0</v>
      </c>
      <c r="CE72" s="364">
        <f t="shared" si="232"/>
        <v>0</v>
      </c>
      <c r="CF72" s="364">
        <f t="shared" si="232"/>
        <v>0</v>
      </c>
      <c r="CG72" s="359"/>
    </row>
    <row r="73" spans="1:85" s="345" customFormat="1" ht="19.5" customHeight="1" x14ac:dyDescent="0.25">
      <c r="A73" s="341" t="s">
        <v>707</v>
      </c>
      <c r="B73" s="419" t="s">
        <v>709</v>
      </c>
      <c r="C73" s="416" t="s">
        <v>734</v>
      </c>
      <c r="D73" s="127">
        <v>0</v>
      </c>
      <c r="E73" s="420">
        <v>2025</v>
      </c>
      <c r="F73" s="420">
        <v>2025</v>
      </c>
      <c r="G73" s="354"/>
      <c r="H73" s="389">
        <v>5.1050000000000004</v>
      </c>
      <c r="I73" s="389">
        <f>H73</f>
        <v>5.1050000000000004</v>
      </c>
      <c r="J73" s="392">
        <v>44201</v>
      </c>
      <c r="K73" s="127"/>
      <c r="L73" s="127"/>
      <c r="M73" s="180"/>
      <c r="N73" s="358"/>
      <c r="O73" s="358"/>
      <c r="P73" s="389">
        <f>H73</f>
        <v>5.1050000000000004</v>
      </c>
      <c r="Q73" s="389">
        <f>P73*Ф17!E15*Ф17!F15*Ф17!G15*Ф17!H15</f>
        <v>6.1404058122829195</v>
      </c>
      <c r="R73" s="127">
        <f>L73</f>
        <v>0</v>
      </c>
      <c r="S73" s="127"/>
      <c r="T73" s="389">
        <f>Q73</f>
        <v>6.1404058122829195</v>
      </c>
      <c r="U73" s="127">
        <f>S73</f>
        <v>0</v>
      </c>
      <c r="V73" s="127"/>
      <c r="W73" s="127"/>
      <c r="X73" s="127"/>
      <c r="Y73" s="389">
        <f>IF(E73=2022,T73,0)</f>
        <v>0</v>
      </c>
      <c r="Z73" s="127"/>
      <c r="AA73" s="127"/>
      <c r="AB73" s="127"/>
      <c r="AC73" s="127"/>
      <c r="AD73" s="127"/>
      <c r="AE73" s="127"/>
      <c r="AF73" s="127"/>
      <c r="AG73" s="127"/>
      <c r="AH73" s="127"/>
      <c r="AI73" s="389">
        <f t="shared" si="223"/>
        <v>0</v>
      </c>
      <c r="AJ73" s="127"/>
      <c r="AK73" s="127"/>
      <c r="AL73" s="127">
        <f>AI73-AM73</f>
        <v>0</v>
      </c>
      <c r="AM73" s="127">
        <v>0</v>
      </c>
      <c r="AN73" s="127">
        <f>U73</f>
        <v>0</v>
      </c>
      <c r="AO73" s="127"/>
      <c r="AP73" s="127"/>
      <c r="AQ73" s="127">
        <v>0</v>
      </c>
      <c r="AR73" s="127">
        <v>0</v>
      </c>
      <c r="AS73" s="389">
        <f>IF(E73=2024,T73,0)</f>
        <v>0</v>
      </c>
      <c r="AT73" s="127"/>
      <c r="AU73" s="358"/>
      <c r="AV73" s="358"/>
      <c r="AW73" s="358"/>
      <c r="AX73" s="358"/>
      <c r="AY73" s="358"/>
      <c r="AZ73" s="358"/>
      <c r="BA73" s="358"/>
      <c r="BB73" s="358"/>
      <c r="BC73" s="389">
        <f>IF(E73=2025,T73,0)</f>
        <v>6.1404058122829195</v>
      </c>
      <c r="BD73" s="127"/>
      <c r="BE73" s="358"/>
      <c r="BF73" s="358">
        <v>1.5649999999999999</v>
      </c>
      <c r="BG73" s="358">
        <v>4.5750000000000002</v>
      </c>
      <c r="BH73" s="358"/>
      <c r="BI73" s="358"/>
      <c r="BJ73" s="358"/>
      <c r="BK73" s="358"/>
      <c r="BL73" s="358"/>
      <c r="BM73" s="389">
        <f>IF(E73=2026,T73,0)</f>
        <v>0</v>
      </c>
      <c r="BN73" s="127"/>
      <c r="BO73" s="358"/>
      <c r="BP73" s="358"/>
      <c r="BQ73" s="358"/>
      <c r="BR73" s="358"/>
      <c r="BS73" s="358"/>
      <c r="BT73" s="358"/>
      <c r="BU73" s="358"/>
      <c r="BV73" s="358"/>
      <c r="BW73" s="389">
        <f>Y73+AI73+AS73+BC73+BM73</f>
        <v>6.1404058122829195</v>
      </c>
      <c r="BX73" s="389">
        <f t="shared" si="228"/>
        <v>0</v>
      </c>
      <c r="BY73" s="389">
        <f t="shared" si="229"/>
        <v>0</v>
      </c>
      <c r="BZ73" s="389">
        <f t="shared" si="230"/>
        <v>1.5649999999999999</v>
      </c>
      <c r="CA73" s="389">
        <f t="shared" si="231"/>
        <v>4.5750000000000002</v>
      </c>
      <c r="CB73" s="364">
        <f>AN73</f>
        <v>0</v>
      </c>
      <c r="CC73" s="364">
        <f t="shared" ref="CC73" si="233">AO73</f>
        <v>0</v>
      </c>
      <c r="CD73" s="364">
        <f t="shared" ref="CD73" si="234">AP73</f>
        <v>0</v>
      </c>
      <c r="CE73" s="364">
        <f t="shared" ref="CE73" si="235">AQ73</f>
        <v>0</v>
      </c>
      <c r="CF73" s="364">
        <f t="shared" ref="CF73" si="236">AR73</f>
        <v>0</v>
      </c>
      <c r="CG73" s="359"/>
    </row>
    <row r="76" spans="1:85" ht="18.75" x14ac:dyDescent="0.25">
      <c r="B76" s="278" t="s">
        <v>77</v>
      </c>
      <c r="C76" s="279"/>
      <c r="D76" s="279"/>
      <c r="E76" s="279" t="s">
        <v>668</v>
      </c>
    </row>
    <row r="81" spans="1:77" s="41" customFormat="1" x14ac:dyDescent="0.25">
      <c r="A81" s="613" t="s">
        <v>207</v>
      </c>
      <c r="B81" s="613"/>
      <c r="C81" s="613"/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136"/>
      <c r="R81" s="137"/>
      <c r="S81" s="137"/>
      <c r="T81" s="137"/>
      <c r="U81" s="137"/>
      <c r="Y81" s="138"/>
      <c r="Z81" s="138"/>
      <c r="AA81" s="138"/>
      <c r="AB81" s="138"/>
      <c r="AC81" s="138"/>
      <c r="AD81" s="138"/>
      <c r="AE81" s="138"/>
      <c r="AF81" s="138"/>
      <c r="AG81" s="138"/>
      <c r="AL81" s="138"/>
      <c r="BA81" s="138"/>
      <c r="BB81" s="138"/>
      <c r="BK81" s="138"/>
      <c r="BL81" s="138"/>
      <c r="BU81" s="138"/>
      <c r="BV81" s="138"/>
      <c r="BW81" s="138"/>
      <c r="BX81" s="138"/>
      <c r="BY81" s="138"/>
    </row>
    <row r="82" spans="1:77" s="41" customFormat="1" x14ac:dyDescent="0.25">
      <c r="A82" s="614" t="s">
        <v>208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139"/>
      <c r="R82" s="140"/>
      <c r="S82" s="140"/>
      <c r="T82" s="140"/>
      <c r="U82" s="140"/>
      <c r="Y82" s="138"/>
      <c r="Z82" s="138"/>
      <c r="AA82" s="138"/>
      <c r="AB82" s="138"/>
      <c r="AC82" s="138"/>
      <c r="AD82" s="138"/>
      <c r="AE82" s="138"/>
      <c r="AF82" s="138"/>
      <c r="AG82" s="138"/>
      <c r="AL82" s="138"/>
      <c r="BA82" s="138"/>
      <c r="BB82" s="138"/>
      <c r="BK82" s="138"/>
      <c r="BL82" s="138"/>
      <c r="BU82" s="138"/>
      <c r="BV82" s="138"/>
      <c r="BW82" s="138"/>
      <c r="BX82" s="138"/>
      <c r="BY82" s="138"/>
    </row>
    <row r="83" spans="1:77" s="41" customFormat="1" x14ac:dyDescent="0.25">
      <c r="A83" s="614" t="s">
        <v>209</v>
      </c>
      <c r="B83" s="614"/>
      <c r="C83" s="614"/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139"/>
      <c r="R83" s="140"/>
      <c r="S83" s="140"/>
      <c r="T83" s="140"/>
      <c r="U83" s="140"/>
      <c r="Y83" s="138"/>
      <c r="Z83" s="138"/>
      <c r="AA83" s="138"/>
      <c r="AB83" s="138"/>
      <c r="AC83" s="138"/>
      <c r="AD83" s="138"/>
      <c r="AE83" s="138"/>
      <c r="AF83" s="138"/>
      <c r="AG83" s="138"/>
      <c r="AL83" s="138"/>
      <c r="BA83" s="138"/>
      <c r="BB83" s="138"/>
      <c r="BK83" s="138"/>
      <c r="BL83" s="138"/>
      <c r="BU83" s="138"/>
      <c r="BV83" s="138"/>
      <c r="BW83" s="138"/>
      <c r="BX83" s="138"/>
      <c r="BY83" s="138"/>
    </row>
    <row r="84" spans="1:77" s="41" customFormat="1" x14ac:dyDescent="0.25">
      <c r="A84" s="614" t="s">
        <v>210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140"/>
      <c r="S84" s="140"/>
      <c r="T84" s="140"/>
      <c r="U84" s="140"/>
      <c r="Y84" s="138"/>
      <c r="Z84" s="138"/>
      <c r="AA84" s="138"/>
      <c r="AB84" s="138"/>
      <c r="AC84" s="138"/>
      <c r="AD84" s="138"/>
      <c r="AE84" s="138"/>
      <c r="AF84" s="138"/>
      <c r="AG84" s="138"/>
      <c r="AL84" s="138"/>
      <c r="BA84" s="138"/>
      <c r="BB84" s="138"/>
      <c r="BK84" s="138"/>
      <c r="BL84" s="138"/>
      <c r="BU84" s="138"/>
      <c r="BV84" s="138"/>
      <c r="BW84" s="138"/>
      <c r="BX84" s="138"/>
      <c r="BY84" s="138"/>
    </row>
  </sheetData>
  <mergeCells count="44">
    <mergeCell ref="CG46:CG47"/>
    <mergeCell ref="A83:P83"/>
    <mergeCell ref="A84:P84"/>
    <mergeCell ref="Y11:CF11"/>
    <mergeCell ref="H11:M11"/>
    <mergeCell ref="N11:N13"/>
    <mergeCell ref="O11:O13"/>
    <mergeCell ref="P11:S11"/>
    <mergeCell ref="T11:U12"/>
    <mergeCell ref="V11:X12"/>
    <mergeCell ref="H12:J12"/>
    <mergeCell ref="K12:M12"/>
    <mergeCell ref="P12:Q12"/>
    <mergeCell ref="R12:S12"/>
    <mergeCell ref="A11:A13"/>
    <mergeCell ref="AX12:BB12"/>
    <mergeCell ref="A81:P81"/>
    <mergeCell ref="A82:P8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B11:B13"/>
    <mergeCell ref="C11:C13"/>
    <mergeCell ref="D11:D13"/>
    <mergeCell ref="E11:E13"/>
    <mergeCell ref="F11:G12"/>
    <mergeCell ref="CG11:CG13"/>
    <mergeCell ref="Y12:AC12"/>
    <mergeCell ref="AD12:AH12"/>
    <mergeCell ref="AI12:AM12"/>
    <mergeCell ref="AN12:AR12"/>
    <mergeCell ref="AS12:AW12"/>
    <mergeCell ref="BW12:CA12"/>
    <mergeCell ref="CB12:CF12"/>
    <mergeCell ref="BM12:BQ12"/>
    <mergeCell ref="BR12:BV12"/>
    <mergeCell ref="BC12:BG12"/>
    <mergeCell ref="BH12:BL12"/>
  </mergeCells>
  <pageMargins left="0.23622047244094491" right="0.23622047244094491" top="0.74803149606299213" bottom="0.74803149606299213" header="0.31496062992125984" footer="0.31496062992125984"/>
  <pageSetup paperSize="9" scale="47" fitToWidth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90"/>
  <sheetViews>
    <sheetView zoomScale="70" zoomScaleNormal="70" workbookViewId="0">
      <selection activeCell="A8" sqref="A8:AO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50" bestFit="1" customWidth="1"/>
    <col min="6" max="6" width="12.7109375" style="50" customWidth="1"/>
    <col min="7" max="7" width="12.28515625" customWidth="1"/>
    <col min="8" max="8" width="10.5703125" customWidth="1"/>
    <col min="9" max="9" width="10.7109375" bestFit="1" customWidth="1"/>
    <col min="10" max="10" width="16" style="55" bestFit="1" customWidth="1"/>
    <col min="11" max="12" width="11" bestFit="1" customWidth="1"/>
    <col min="13" max="13" width="15.85546875" style="55" bestFit="1" customWidth="1"/>
    <col min="14" max="14" width="19.140625" bestFit="1" customWidth="1"/>
    <col min="15" max="15" width="19.42578125" customWidth="1"/>
    <col min="16" max="19" width="11.7109375" customWidth="1"/>
    <col min="20" max="20" width="10.7109375" bestFit="1" customWidth="1"/>
    <col min="21" max="21" width="11" bestFit="1" customWidth="1"/>
    <col min="22" max="24" width="8.42578125" bestFit="1" customWidth="1"/>
    <col min="25" max="25" width="11" bestFit="1" customWidth="1"/>
    <col min="26" max="27" width="8.42578125" bestFit="1" customWidth="1"/>
    <col min="28" max="28" width="11" bestFit="1" customWidth="1"/>
    <col min="29" max="29" width="9.7109375" bestFit="1" customWidth="1"/>
    <col min="30" max="30" width="9.42578125" bestFit="1" customWidth="1"/>
    <col min="31" max="31" width="8.42578125" bestFit="1" customWidth="1"/>
    <col min="32" max="32" width="9.7109375" customWidth="1"/>
    <col min="33" max="33" width="10" bestFit="1" customWidth="1"/>
    <col min="34" max="34" width="9.7109375" bestFit="1" customWidth="1"/>
    <col min="35" max="35" width="10" bestFit="1" customWidth="1"/>
    <col min="36" max="36" width="9.7109375" bestFit="1" customWidth="1"/>
    <col min="37" max="37" width="10" bestFit="1" customWidth="1"/>
    <col min="38" max="38" width="9.7109375" bestFit="1" customWidth="1"/>
    <col min="39" max="39" width="11" bestFit="1" customWidth="1"/>
    <col min="40" max="40" width="9.7109375" customWidth="1"/>
    <col min="41" max="41" width="35.140625" customWidth="1"/>
  </cols>
  <sheetData>
    <row r="1" spans="1:41" s="41" customFormat="1" ht="18.75" x14ac:dyDescent="0.3">
      <c r="A1" s="616" t="s">
        <v>211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</row>
    <row r="2" spans="1:41" s="41" customFormat="1" ht="18.75" x14ac:dyDescent="0.3">
      <c r="A2" s="152"/>
      <c r="B2" s="152"/>
      <c r="C2" s="152"/>
      <c r="D2" s="152"/>
      <c r="E2" s="152"/>
      <c r="F2" s="152"/>
      <c r="G2" s="152"/>
      <c r="H2" s="152"/>
      <c r="I2" s="152"/>
      <c r="J2" s="148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1"/>
      <c r="AD2" s="151"/>
      <c r="AE2" s="151"/>
      <c r="AF2" s="151"/>
      <c r="AG2" s="427"/>
      <c r="AH2" s="427"/>
      <c r="AI2" s="427"/>
      <c r="AJ2" s="427"/>
      <c r="AK2" s="151"/>
      <c r="AL2" s="151"/>
      <c r="AM2" s="151"/>
      <c r="AN2" s="152"/>
      <c r="AO2" s="152"/>
    </row>
    <row r="3" spans="1:41" s="41" customFormat="1" ht="18.75" x14ac:dyDescent="0.25">
      <c r="A3" s="603" t="s">
        <v>123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</row>
    <row r="4" spans="1:41" s="41" customFormat="1" x14ac:dyDescent="0.25">
      <c r="A4" s="606" t="s">
        <v>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</row>
    <row r="5" spans="1:41" s="41" customFormat="1" ht="18.75" x14ac:dyDescent="0.3">
      <c r="J5" s="149"/>
      <c r="AC5" s="143"/>
      <c r="AD5" s="143"/>
      <c r="AE5" s="143"/>
      <c r="AF5" s="143"/>
      <c r="AG5" s="433"/>
      <c r="AH5" s="433"/>
      <c r="AI5" s="433"/>
      <c r="AJ5" s="433"/>
      <c r="AK5" s="143"/>
      <c r="AL5" s="143"/>
      <c r="AM5" s="143"/>
      <c r="AN5" s="144"/>
    </row>
    <row r="6" spans="1:41" s="41" customFormat="1" ht="18.75" x14ac:dyDescent="0.3">
      <c r="A6" s="600" t="s">
        <v>760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</row>
    <row r="7" spans="1:41" s="41" customFormat="1" ht="18.75" x14ac:dyDescent="0.3">
      <c r="A7" s="152"/>
      <c r="B7" s="152"/>
      <c r="C7" s="152"/>
      <c r="D7" s="152"/>
      <c r="E7" s="152"/>
      <c r="F7" s="152"/>
      <c r="G7" s="152"/>
      <c r="H7" s="152"/>
      <c r="I7" s="152"/>
      <c r="J7" s="148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1"/>
      <c r="AD7" s="151"/>
      <c r="AE7" s="151"/>
      <c r="AF7" s="151"/>
      <c r="AG7" s="427"/>
      <c r="AH7" s="427"/>
      <c r="AI7" s="427"/>
      <c r="AJ7" s="427"/>
      <c r="AK7" s="151"/>
      <c r="AL7" s="151"/>
      <c r="AM7" s="151"/>
      <c r="AN7" s="152"/>
      <c r="AO7" s="152"/>
    </row>
    <row r="8" spans="1:41" s="41" customFormat="1" ht="18.75" x14ac:dyDescent="0.3">
      <c r="A8" s="600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600"/>
    </row>
    <row r="9" spans="1:41" s="41" customFormat="1" x14ac:dyDescent="0.25">
      <c r="A9" s="601" t="s">
        <v>226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</row>
    <row r="10" spans="1:41" s="41" customFormat="1" ht="15.75" customHeight="1" x14ac:dyDescent="0.25">
      <c r="A10" s="630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  <c r="AK10" s="630"/>
      <c r="AL10" s="630"/>
      <c r="AM10" s="630"/>
      <c r="AN10" s="630"/>
      <c r="AO10" s="146"/>
    </row>
    <row r="11" spans="1:41" s="41" customFormat="1" ht="90" customHeight="1" x14ac:dyDescent="0.25">
      <c r="A11" s="617" t="s">
        <v>4</v>
      </c>
      <c r="B11" s="617" t="s">
        <v>5</v>
      </c>
      <c r="C11" s="617" t="s">
        <v>6</v>
      </c>
      <c r="D11" s="618" t="s">
        <v>212</v>
      </c>
      <c r="E11" s="618" t="s">
        <v>128</v>
      </c>
      <c r="F11" s="617" t="s">
        <v>213</v>
      </c>
      <c r="G11" s="617"/>
      <c r="H11" s="617" t="s">
        <v>534</v>
      </c>
      <c r="I11" s="617"/>
      <c r="J11" s="631" t="s">
        <v>214</v>
      </c>
      <c r="K11" s="610" t="s">
        <v>535</v>
      </c>
      <c r="L11" s="611"/>
      <c r="M11" s="611"/>
      <c r="N11" s="611"/>
      <c r="O11" s="611"/>
      <c r="P11" s="611"/>
      <c r="Q11" s="611"/>
      <c r="R11" s="611"/>
      <c r="S11" s="611"/>
      <c r="T11" s="612"/>
      <c r="U11" s="610" t="s">
        <v>215</v>
      </c>
      <c r="V11" s="611"/>
      <c r="W11" s="611"/>
      <c r="X11" s="611"/>
      <c r="Y11" s="611"/>
      <c r="Z11" s="612"/>
      <c r="AA11" s="624" t="s">
        <v>539</v>
      </c>
      <c r="AB11" s="626"/>
      <c r="AC11" s="610" t="s">
        <v>541</v>
      </c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2"/>
      <c r="AO11" s="621" t="s">
        <v>216</v>
      </c>
    </row>
    <row r="12" spans="1:41" s="41" customFormat="1" ht="90.75" customHeight="1" x14ac:dyDescent="0.25">
      <c r="A12" s="617"/>
      <c r="B12" s="617"/>
      <c r="C12" s="617"/>
      <c r="D12" s="618"/>
      <c r="E12" s="618"/>
      <c r="F12" s="617"/>
      <c r="G12" s="617"/>
      <c r="H12" s="617"/>
      <c r="I12" s="617"/>
      <c r="J12" s="632"/>
      <c r="K12" s="610" t="s">
        <v>532</v>
      </c>
      <c r="L12" s="611"/>
      <c r="M12" s="611"/>
      <c r="N12" s="611"/>
      <c r="O12" s="612"/>
      <c r="P12" s="610" t="s">
        <v>217</v>
      </c>
      <c r="Q12" s="611"/>
      <c r="R12" s="611"/>
      <c r="S12" s="611"/>
      <c r="T12" s="612"/>
      <c r="U12" s="617" t="s">
        <v>536</v>
      </c>
      <c r="V12" s="617"/>
      <c r="W12" s="610" t="s">
        <v>537</v>
      </c>
      <c r="X12" s="612"/>
      <c r="Y12" s="617" t="s">
        <v>538</v>
      </c>
      <c r="Z12" s="617"/>
      <c r="AA12" s="627"/>
      <c r="AB12" s="629"/>
      <c r="AC12" s="634" t="s">
        <v>748</v>
      </c>
      <c r="AD12" s="634"/>
      <c r="AE12" s="634" t="s">
        <v>749</v>
      </c>
      <c r="AF12" s="634"/>
      <c r="AG12" s="634" t="s">
        <v>750</v>
      </c>
      <c r="AH12" s="634"/>
      <c r="AI12" s="634" t="s">
        <v>751</v>
      </c>
      <c r="AJ12" s="634"/>
      <c r="AK12" s="634" t="s">
        <v>752</v>
      </c>
      <c r="AL12" s="634"/>
      <c r="AM12" s="621" t="s">
        <v>183</v>
      </c>
      <c r="AN12" s="621" t="s">
        <v>218</v>
      </c>
      <c r="AO12" s="622"/>
    </row>
    <row r="13" spans="1:41" s="41" customFormat="1" ht="135" customHeight="1" x14ac:dyDescent="0.25">
      <c r="A13" s="617"/>
      <c r="B13" s="617"/>
      <c r="C13" s="617"/>
      <c r="D13" s="618"/>
      <c r="E13" s="618"/>
      <c r="F13" s="201" t="s">
        <v>532</v>
      </c>
      <c r="G13" s="201" t="s">
        <v>136</v>
      </c>
      <c r="H13" s="201" t="s">
        <v>532</v>
      </c>
      <c r="I13" s="201" t="s">
        <v>136</v>
      </c>
      <c r="J13" s="633"/>
      <c r="K13" s="154" t="s">
        <v>219</v>
      </c>
      <c r="L13" s="154" t="s">
        <v>220</v>
      </c>
      <c r="M13" s="154" t="s">
        <v>221</v>
      </c>
      <c r="N13" s="147" t="s">
        <v>222</v>
      </c>
      <c r="O13" s="147" t="s">
        <v>223</v>
      </c>
      <c r="P13" s="154" t="s">
        <v>219</v>
      </c>
      <c r="Q13" s="154" t="s">
        <v>220</v>
      </c>
      <c r="R13" s="154" t="s">
        <v>221</v>
      </c>
      <c r="S13" s="147" t="s">
        <v>222</v>
      </c>
      <c r="T13" s="147" t="s">
        <v>223</v>
      </c>
      <c r="U13" s="154" t="s">
        <v>224</v>
      </c>
      <c r="V13" s="154" t="s">
        <v>225</v>
      </c>
      <c r="W13" s="154" t="s">
        <v>224</v>
      </c>
      <c r="X13" s="154" t="s">
        <v>225</v>
      </c>
      <c r="Y13" s="154" t="s">
        <v>224</v>
      </c>
      <c r="Z13" s="154" t="s">
        <v>225</v>
      </c>
      <c r="AA13" s="262" t="s">
        <v>532</v>
      </c>
      <c r="AB13" s="262" t="s">
        <v>136</v>
      </c>
      <c r="AC13" s="262" t="s">
        <v>526</v>
      </c>
      <c r="AD13" s="262" t="s">
        <v>540</v>
      </c>
      <c r="AE13" s="262" t="s">
        <v>526</v>
      </c>
      <c r="AF13" s="262" t="s">
        <v>540</v>
      </c>
      <c r="AG13" s="428" t="s">
        <v>526</v>
      </c>
      <c r="AH13" s="428" t="s">
        <v>540</v>
      </c>
      <c r="AI13" s="428" t="s">
        <v>526</v>
      </c>
      <c r="AJ13" s="428" t="s">
        <v>540</v>
      </c>
      <c r="AK13" s="262" t="s">
        <v>526</v>
      </c>
      <c r="AL13" s="262" t="s">
        <v>540</v>
      </c>
      <c r="AM13" s="623"/>
      <c r="AN13" s="623"/>
      <c r="AO13" s="623"/>
    </row>
    <row r="14" spans="1:41" s="41" customFormat="1" x14ac:dyDescent="0.25">
      <c r="A14" s="153">
        <v>1</v>
      </c>
      <c r="B14" s="153">
        <v>2</v>
      </c>
      <c r="C14" s="153">
        <v>3</v>
      </c>
      <c r="D14" s="153">
        <v>4</v>
      </c>
      <c r="E14" s="153">
        <v>5</v>
      </c>
      <c r="F14" s="153">
        <v>6</v>
      </c>
      <c r="G14" s="153">
        <v>7</v>
      </c>
      <c r="H14" s="153">
        <v>8</v>
      </c>
      <c r="I14" s="153">
        <v>9</v>
      </c>
      <c r="J14" s="150">
        <v>10</v>
      </c>
      <c r="K14" s="153">
        <v>11</v>
      </c>
      <c r="L14" s="153">
        <v>12</v>
      </c>
      <c r="M14" s="153">
        <v>13</v>
      </c>
      <c r="N14" s="153">
        <v>14</v>
      </c>
      <c r="O14" s="153">
        <v>15</v>
      </c>
      <c r="P14" s="58" t="s">
        <v>147</v>
      </c>
      <c r="Q14" s="58" t="s">
        <v>148</v>
      </c>
      <c r="R14" s="58" t="s">
        <v>149</v>
      </c>
      <c r="S14" s="58" t="s">
        <v>150</v>
      </c>
      <c r="T14" s="59">
        <v>17</v>
      </c>
      <c r="U14" s="153">
        <v>18</v>
      </c>
      <c r="V14" s="153">
        <v>19</v>
      </c>
      <c r="W14" s="153">
        <v>20</v>
      </c>
      <c r="X14" s="153">
        <v>21</v>
      </c>
      <c r="Y14" s="58" t="s">
        <v>151</v>
      </c>
      <c r="Z14" s="58" t="s">
        <v>152</v>
      </c>
      <c r="AA14" s="58" t="s">
        <v>153</v>
      </c>
      <c r="AB14" s="58" t="s">
        <v>154</v>
      </c>
      <c r="AC14" s="58" t="s">
        <v>155</v>
      </c>
      <c r="AD14" s="58" t="s">
        <v>156</v>
      </c>
      <c r="AE14" s="58" t="s">
        <v>157</v>
      </c>
      <c r="AF14" s="58" t="s">
        <v>158</v>
      </c>
      <c r="AG14" s="58" t="s">
        <v>159</v>
      </c>
      <c r="AH14" s="58" t="s">
        <v>160</v>
      </c>
      <c r="AI14" s="58" t="s">
        <v>159</v>
      </c>
      <c r="AJ14" s="58" t="s">
        <v>160</v>
      </c>
      <c r="AK14" s="58" t="s">
        <v>159</v>
      </c>
      <c r="AL14" s="58" t="s">
        <v>160</v>
      </c>
      <c r="AM14" s="58" t="s">
        <v>161</v>
      </c>
      <c r="AN14" s="58" t="s">
        <v>162</v>
      </c>
      <c r="AO14" s="58" t="s">
        <v>163</v>
      </c>
    </row>
    <row r="15" spans="1:41" s="185" customFormat="1" x14ac:dyDescent="0.25">
      <c r="A15" s="183" t="s">
        <v>33</v>
      </c>
      <c r="B15" s="64" t="s">
        <v>34</v>
      </c>
      <c r="C15" s="184">
        <f>Ф2!C15</f>
        <v>0</v>
      </c>
      <c r="D15" s="184">
        <f>Ф2!D15</f>
        <v>0</v>
      </c>
      <c r="E15" s="113">
        <f>Ф2!E15</f>
        <v>0</v>
      </c>
      <c r="F15" s="113">
        <f>Ф2!F15</f>
        <v>0</v>
      </c>
      <c r="G15" s="113">
        <f>Ф2!G15</f>
        <v>0</v>
      </c>
      <c r="H15" s="280">
        <f>H16</f>
        <v>57.286725719444448</v>
      </c>
      <c r="I15" s="280">
        <f t="shared" ref="I15:AN15" si="0">I16</f>
        <v>0</v>
      </c>
      <c r="J15" s="280">
        <f t="shared" si="0"/>
        <v>0</v>
      </c>
      <c r="K15" s="280">
        <f t="shared" si="0"/>
        <v>66.641730901578086</v>
      </c>
      <c r="L15" s="280">
        <f t="shared" si="0"/>
        <v>0</v>
      </c>
      <c r="M15" s="280">
        <f t="shared" si="0"/>
        <v>19.718249698660593</v>
      </c>
      <c r="N15" s="280">
        <f t="shared" si="0"/>
        <v>46.9234812029175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0"/>
        <v>0</v>
      </c>
      <c r="U15" s="280">
        <f t="shared" si="0"/>
        <v>0</v>
      </c>
      <c r="V15" s="280">
        <f t="shared" si="0"/>
        <v>0</v>
      </c>
      <c r="W15" s="280">
        <f t="shared" si="0"/>
        <v>0</v>
      </c>
      <c r="X15" s="280">
        <f t="shared" si="0"/>
        <v>0</v>
      </c>
      <c r="Y15" s="280">
        <f t="shared" si="0"/>
        <v>0</v>
      </c>
      <c r="Z15" s="280">
        <f t="shared" si="0"/>
        <v>0</v>
      </c>
      <c r="AA15" s="280">
        <f t="shared" si="0"/>
        <v>0</v>
      </c>
      <c r="AB15" s="280">
        <f t="shared" si="0"/>
        <v>0</v>
      </c>
      <c r="AC15" s="280">
        <f t="shared" si="0"/>
        <v>8.1018356066666684</v>
      </c>
      <c r="AD15" s="280">
        <f t="shared" si="0"/>
        <v>0</v>
      </c>
      <c r="AE15" s="280">
        <f t="shared" si="0"/>
        <v>12.836795200860001</v>
      </c>
      <c r="AF15" s="280">
        <f t="shared" si="0"/>
        <v>0</v>
      </c>
      <c r="AG15" s="280">
        <f t="shared" si="0"/>
        <v>11.82594441127852</v>
      </c>
      <c r="AH15" s="280">
        <f t="shared" si="0"/>
        <v>0</v>
      </c>
      <c r="AI15" s="280">
        <f t="shared" si="0"/>
        <v>17.754960883375936</v>
      </c>
      <c r="AJ15" s="280">
        <f t="shared" si="0"/>
        <v>0</v>
      </c>
      <c r="AK15" s="280">
        <f t="shared" si="0"/>
        <v>16.122194799396958</v>
      </c>
      <c r="AL15" s="280">
        <f t="shared" si="0"/>
        <v>0</v>
      </c>
      <c r="AM15" s="280">
        <f t="shared" si="0"/>
        <v>66.641730901578086</v>
      </c>
      <c r="AN15" s="280">
        <f t="shared" si="0"/>
        <v>0</v>
      </c>
      <c r="AO15" s="184"/>
    </row>
    <row r="16" spans="1:41" s="189" customFormat="1" x14ac:dyDescent="0.25">
      <c r="A16" s="186" t="s">
        <v>81</v>
      </c>
      <c r="B16" s="9" t="s">
        <v>36</v>
      </c>
      <c r="C16" s="187">
        <f>Ф2!C16</f>
        <v>0</v>
      </c>
      <c r="D16" s="187">
        <f>Ф2!D16</f>
        <v>0</v>
      </c>
      <c r="E16" s="115">
        <f>Ф2!E16</f>
        <v>0</v>
      </c>
      <c r="F16" s="115">
        <f>Ф2!F16</f>
        <v>0</v>
      </c>
      <c r="G16" s="115">
        <f>Ф2!G16</f>
        <v>0</v>
      </c>
      <c r="H16" s="281">
        <f>H36+H71</f>
        <v>57.286725719444448</v>
      </c>
      <c r="I16" s="281">
        <f t="shared" ref="I16:AN16" si="1">I36+I71</f>
        <v>0</v>
      </c>
      <c r="J16" s="281">
        <f t="shared" si="1"/>
        <v>0</v>
      </c>
      <c r="K16" s="281">
        <f t="shared" si="1"/>
        <v>66.641730901578086</v>
      </c>
      <c r="L16" s="281">
        <f t="shared" si="1"/>
        <v>0</v>
      </c>
      <c r="M16" s="281">
        <f t="shared" si="1"/>
        <v>19.718249698660593</v>
      </c>
      <c r="N16" s="281">
        <f t="shared" si="1"/>
        <v>46.9234812029175</v>
      </c>
      <c r="O16" s="281">
        <f t="shared" si="1"/>
        <v>0</v>
      </c>
      <c r="P16" s="281">
        <f t="shared" si="1"/>
        <v>0</v>
      </c>
      <c r="Q16" s="281">
        <f t="shared" si="1"/>
        <v>0</v>
      </c>
      <c r="R16" s="281">
        <f t="shared" si="1"/>
        <v>0</v>
      </c>
      <c r="S16" s="281">
        <f t="shared" si="1"/>
        <v>0</v>
      </c>
      <c r="T16" s="281">
        <f t="shared" si="1"/>
        <v>0</v>
      </c>
      <c r="U16" s="281">
        <f t="shared" si="1"/>
        <v>0</v>
      </c>
      <c r="V16" s="281">
        <f t="shared" si="1"/>
        <v>0</v>
      </c>
      <c r="W16" s="281">
        <f t="shared" si="1"/>
        <v>0</v>
      </c>
      <c r="X16" s="281">
        <f t="shared" si="1"/>
        <v>0</v>
      </c>
      <c r="Y16" s="281">
        <f t="shared" si="1"/>
        <v>0</v>
      </c>
      <c r="Z16" s="281">
        <f t="shared" si="1"/>
        <v>0</v>
      </c>
      <c r="AA16" s="281">
        <f t="shared" si="1"/>
        <v>0</v>
      </c>
      <c r="AB16" s="281">
        <f t="shared" si="1"/>
        <v>0</v>
      </c>
      <c r="AC16" s="281">
        <f t="shared" si="1"/>
        <v>8.1018356066666684</v>
      </c>
      <c r="AD16" s="281">
        <f t="shared" si="1"/>
        <v>0</v>
      </c>
      <c r="AE16" s="281">
        <f t="shared" si="1"/>
        <v>12.836795200860001</v>
      </c>
      <c r="AF16" s="281">
        <f t="shared" si="1"/>
        <v>0</v>
      </c>
      <c r="AG16" s="281">
        <f t="shared" si="1"/>
        <v>11.82594441127852</v>
      </c>
      <c r="AH16" s="281">
        <f t="shared" si="1"/>
        <v>0</v>
      </c>
      <c r="AI16" s="281">
        <f t="shared" si="1"/>
        <v>17.754960883375936</v>
      </c>
      <c r="AJ16" s="281">
        <f t="shared" si="1"/>
        <v>0</v>
      </c>
      <c r="AK16" s="281">
        <f t="shared" si="1"/>
        <v>16.122194799396958</v>
      </c>
      <c r="AL16" s="281">
        <f t="shared" si="1"/>
        <v>0</v>
      </c>
      <c r="AM16" s="281">
        <f t="shared" si="1"/>
        <v>66.641730901578086</v>
      </c>
      <c r="AN16" s="281">
        <f t="shared" si="1"/>
        <v>0</v>
      </c>
      <c r="AO16" s="187"/>
    </row>
    <row r="17" spans="1:41" s="185" customFormat="1" x14ac:dyDescent="0.25">
      <c r="A17" s="183" t="s">
        <v>37</v>
      </c>
      <c r="B17" s="64" t="s">
        <v>38</v>
      </c>
      <c r="C17" s="184">
        <f>Ф2!C17</f>
        <v>0</v>
      </c>
      <c r="D17" s="184">
        <f>Ф2!D17</f>
        <v>0</v>
      </c>
      <c r="E17" s="117">
        <f>Ф2!E17</f>
        <v>0</v>
      </c>
      <c r="F17" s="117">
        <f>Ф2!F17</f>
        <v>0</v>
      </c>
      <c r="G17" s="117">
        <f>Ф2!G17</f>
        <v>0</v>
      </c>
      <c r="H17" s="280">
        <f t="shared" ref="H17:I17" si="2">H34</f>
        <v>0</v>
      </c>
      <c r="I17" s="184">
        <f t="shared" si="2"/>
        <v>0</v>
      </c>
      <c r="J17" s="184">
        <f>J34</f>
        <v>0</v>
      </c>
      <c r="K17" s="184">
        <f t="shared" ref="K17:AN17" si="3">K34</f>
        <v>0</v>
      </c>
      <c r="L17" s="184">
        <f t="shared" si="3"/>
        <v>0</v>
      </c>
      <c r="M17" s="184">
        <f t="shared" si="3"/>
        <v>0</v>
      </c>
      <c r="N17" s="184">
        <f t="shared" si="3"/>
        <v>0</v>
      </c>
      <c r="O17" s="184">
        <f t="shared" si="3"/>
        <v>0</v>
      </c>
      <c r="P17" s="184">
        <f t="shared" si="3"/>
        <v>0</v>
      </c>
      <c r="Q17" s="184">
        <f t="shared" si="3"/>
        <v>0</v>
      </c>
      <c r="R17" s="184">
        <f t="shared" si="3"/>
        <v>0</v>
      </c>
      <c r="S17" s="184">
        <f t="shared" si="3"/>
        <v>0</v>
      </c>
      <c r="T17" s="184">
        <f t="shared" si="3"/>
        <v>0</v>
      </c>
      <c r="U17" s="184">
        <f t="shared" si="3"/>
        <v>0</v>
      </c>
      <c r="V17" s="184">
        <f t="shared" si="3"/>
        <v>0</v>
      </c>
      <c r="W17" s="184">
        <f t="shared" si="3"/>
        <v>0</v>
      </c>
      <c r="X17" s="184">
        <f t="shared" si="3"/>
        <v>0</v>
      </c>
      <c r="Y17" s="184">
        <f t="shared" si="3"/>
        <v>0</v>
      </c>
      <c r="Z17" s="184">
        <f t="shared" si="3"/>
        <v>0</v>
      </c>
      <c r="AA17" s="184">
        <f t="shared" si="3"/>
        <v>0</v>
      </c>
      <c r="AB17" s="184">
        <f t="shared" si="3"/>
        <v>0</v>
      </c>
      <c r="AC17" s="184">
        <f t="shared" si="3"/>
        <v>0</v>
      </c>
      <c r="AD17" s="184">
        <f t="shared" si="3"/>
        <v>0</v>
      </c>
      <c r="AE17" s="184">
        <f t="shared" si="3"/>
        <v>0</v>
      </c>
      <c r="AF17" s="184">
        <f t="shared" si="3"/>
        <v>0</v>
      </c>
      <c r="AG17" s="184">
        <f t="shared" si="3"/>
        <v>0</v>
      </c>
      <c r="AH17" s="184">
        <f t="shared" si="3"/>
        <v>0</v>
      </c>
      <c r="AI17" s="184">
        <f t="shared" ref="AI17:AJ17" si="4">AI34</f>
        <v>0</v>
      </c>
      <c r="AJ17" s="184">
        <f t="shared" si="4"/>
        <v>0</v>
      </c>
      <c r="AK17" s="184">
        <f t="shared" si="3"/>
        <v>0</v>
      </c>
      <c r="AL17" s="184">
        <f t="shared" si="3"/>
        <v>0</v>
      </c>
      <c r="AM17" s="184">
        <f t="shared" si="3"/>
        <v>0</v>
      </c>
      <c r="AN17" s="184">
        <f t="shared" si="3"/>
        <v>0</v>
      </c>
      <c r="AO17" s="184"/>
    </row>
    <row r="18" spans="1:41" s="193" customFormat="1" ht="31.5" hidden="1" outlineLevel="1" x14ac:dyDescent="0.25">
      <c r="A18" s="190" t="s">
        <v>82</v>
      </c>
      <c r="B18" s="10" t="s">
        <v>83</v>
      </c>
      <c r="C18" s="191">
        <f>Ф2!C18</f>
        <v>0</v>
      </c>
      <c r="D18" s="191">
        <f>Ф2!D18</f>
        <v>0</v>
      </c>
      <c r="E18" s="120">
        <f>Ф2!E18</f>
        <v>0</v>
      </c>
      <c r="F18" s="120"/>
      <c r="G18" s="119"/>
      <c r="H18" s="282"/>
      <c r="I18" s="191"/>
      <c r="J18" s="191"/>
      <c r="K18" s="191"/>
      <c r="L18" s="191"/>
      <c r="M18" s="192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</row>
    <row r="19" spans="1:41" s="189" customFormat="1" ht="47.25" hidden="1" outlineLevel="1" x14ac:dyDescent="0.25">
      <c r="A19" s="186" t="s">
        <v>84</v>
      </c>
      <c r="B19" s="9" t="s">
        <v>85</v>
      </c>
      <c r="C19" s="187">
        <f>Ф2!C19</f>
        <v>0</v>
      </c>
      <c r="D19" s="187">
        <f>Ф2!D19</f>
        <v>0</v>
      </c>
      <c r="E19" s="115">
        <f>Ф2!E19</f>
        <v>0</v>
      </c>
      <c r="F19" s="115"/>
      <c r="G19" s="114"/>
      <c r="H19" s="283"/>
      <c r="I19" s="187"/>
      <c r="J19" s="187"/>
      <c r="K19" s="187"/>
      <c r="L19" s="187"/>
      <c r="M19" s="188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s="189" customFormat="1" ht="47.25" hidden="1" outlineLevel="1" x14ac:dyDescent="0.25">
      <c r="A20" s="186" t="s">
        <v>86</v>
      </c>
      <c r="B20" s="9" t="s">
        <v>87</v>
      </c>
      <c r="C20" s="187">
        <f>Ф2!C20</f>
        <v>0</v>
      </c>
      <c r="D20" s="187">
        <f>Ф2!D20</f>
        <v>0</v>
      </c>
      <c r="E20" s="115">
        <f>Ф2!E20</f>
        <v>0</v>
      </c>
      <c r="F20" s="115"/>
      <c r="G20" s="114"/>
      <c r="H20" s="283"/>
      <c r="I20" s="187"/>
      <c r="J20" s="187"/>
      <c r="K20" s="187"/>
      <c r="L20" s="187"/>
      <c r="M20" s="188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s="189" customFormat="1" ht="31.5" hidden="1" outlineLevel="1" x14ac:dyDescent="0.25">
      <c r="A21" s="186" t="s">
        <v>88</v>
      </c>
      <c r="B21" s="9" t="s">
        <v>89</v>
      </c>
      <c r="C21" s="187">
        <f>Ф2!C21</f>
        <v>0</v>
      </c>
      <c r="D21" s="187">
        <f>Ф2!D21</f>
        <v>0</v>
      </c>
      <c r="E21" s="115">
        <f>Ф2!E21</f>
        <v>0</v>
      </c>
      <c r="F21" s="115"/>
      <c r="G21" s="114"/>
      <c r="H21" s="283"/>
      <c r="I21" s="187"/>
      <c r="J21" s="187"/>
      <c r="K21" s="187"/>
      <c r="L21" s="187"/>
      <c r="M21" s="188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s="193" customFormat="1" ht="31.5" hidden="1" outlineLevel="1" x14ac:dyDescent="0.25">
      <c r="A22" s="190" t="s">
        <v>90</v>
      </c>
      <c r="B22" s="10" t="s">
        <v>91</v>
      </c>
      <c r="C22" s="191">
        <f>Ф2!C22</f>
        <v>0</v>
      </c>
      <c r="D22" s="191">
        <f>Ф2!D22</f>
        <v>0</v>
      </c>
      <c r="E22" s="120">
        <f>Ф2!E22</f>
        <v>0</v>
      </c>
      <c r="F22" s="120"/>
      <c r="G22" s="119"/>
      <c r="H22" s="282"/>
      <c r="I22" s="191"/>
      <c r="J22" s="191"/>
      <c r="K22" s="191"/>
      <c r="L22" s="191"/>
      <c r="M22" s="192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</row>
    <row r="23" spans="1:41" s="189" customFormat="1" ht="47.25" hidden="1" outlineLevel="1" x14ac:dyDescent="0.25">
      <c r="A23" s="186" t="s">
        <v>92</v>
      </c>
      <c r="B23" s="9" t="s">
        <v>93</v>
      </c>
      <c r="C23" s="187">
        <f>Ф2!C23</f>
        <v>0</v>
      </c>
      <c r="D23" s="187">
        <f>Ф2!D23</f>
        <v>0</v>
      </c>
      <c r="E23" s="115">
        <f>Ф2!E23</f>
        <v>0</v>
      </c>
      <c r="F23" s="115"/>
      <c r="G23" s="114"/>
      <c r="H23" s="283"/>
      <c r="I23" s="187"/>
      <c r="J23" s="187"/>
      <c r="K23" s="187"/>
      <c r="L23" s="187"/>
      <c r="M23" s="188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s="189" customFormat="1" ht="31.5" hidden="1" outlineLevel="1" x14ac:dyDescent="0.25">
      <c r="A24" s="186" t="s">
        <v>94</v>
      </c>
      <c r="B24" s="9" t="s">
        <v>95</v>
      </c>
      <c r="C24" s="187">
        <f>Ф2!C24</f>
        <v>0</v>
      </c>
      <c r="D24" s="187">
        <f>Ф2!D24</f>
        <v>0</v>
      </c>
      <c r="E24" s="115">
        <f>Ф2!E24</f>
        <v>0</v>
      </c>
      <c r="F24" s="115"/>
      <c r="G24" s="114"/>
      <c r="H24" s="283"/>
      <c r="I24" s="187"/>
      <c r="J24" s="187"/>
      <c r="K24" s="187"/>
      <c r="L24" s="187"/>
      <c r="M24" s="188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  <row r="25" spans="1:41" s="193" customFormat="1" ht="31.5" hidden="1" outlineLevel="1" x14ac:dyDescent="0.25">
      <c r="A25" s="190" t="s">
        <v>96</v>
      </c>
      <c r="B25" s="10" t="s">
        <v>97</v>
      </c>
      <c r="C25" s="191">
        <f>Ф2!C25</f>
        <v>0</v>
      </c>
      <c r="D25" s="191">
        <f>Ф2!D25</f>
        <v>0</v>
      </c>
      <c r="E25" s="120">
        <f>Ф2!E25</f>
        <v>0</v>
      </c>
      <c r="F25" s="120"/>
      <c r="G25" s="119"/>
      <c r="H25" s="282"/>
      <c r="I25" s="191"/>
      <c r="J25" s="191"/>
      <c r="K25" s="191"/>
      <c r="L25" s="191"/>
      <c r="M25" s="192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</row>
    <row r="26" spans="1:41" s="189" customFormat="1" ht="31.5" hidden="1" outlineLevel="1" x14ac:dyDescent="0.25">
      <c r="A26" s="186" t="s">
        <v>98</v>
      </c>
      <c r="B26" s="9" t="s">
        <v>99</v>
      </c>
      <c r="C26" s="187">
        <f>Ф2!C26</f>
        <v>0</v>
      </c>
      <c r="D26" s="187">
        <f>Ф2!D26</f>
        <v>0</v>
      </c>
      <c r="E26" s="115">
        <f>Ф2!E26</f>
        <v>0</v>
      </c>
      <c r="F26" s="115"/>
      <c r="G26" s="114"/>
      <c r="H26" s="283"/>
      <c r="I26" s="187"/>
      <c r="J26" s="187"/>
      <c r="K26" s="187"/>
      <c r="L26" s="187"/>
      <c r="M26" s="188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</row>
    <row r="27" spans="1:41" s="189" customFormat="1" ht="63" hidden="1" outlineLevel="1" x14ac:dyDescent="0.25">
      <c r="A27" s="186" t="s">
        <v>103</v>
      </c>
      <c r="B27" s="9" t="s">
        <v>100</v>
      </c>
      <c r="C27" s="187">
        <f>Ф2!C27</f>
        <v>0</v>
      </c>
      <c r="D27" s="187">
        <f>Ф2!D27</f>
        <v>0</v>
      </c>
      <c r="E27" s="115">
        <f>Ф2!E27</f>
        <v>0</v>
      </c>
      <c r="F27" s="115"/>
      <c r="G27" s="114"/>
      <c r="H27" s="283"/>
      <c r="I27" s="187"/>
      <c r="J27" s="187"/>
      <c r="K27" s="187"/>
      <c r="L27" s="187"/>
      <c r="M27" s="188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</row>
    <row r="28" spans="1:41" s="189" customFormat="1" ht="63" hidden="1" outlineLevel="1" x14ac:dyDescent="0.25">
      <c r="A28" s="186" t="s">
        <v>105</v>
      </c>
      <c r="B28" s="9" t="s">
        <v>101</v>
      </c>
      <c r="C28" s="187">
        <f>Ф2!C28</f>
        <v>0</v>
      </c>
      <c r="D28" s="187">
        <f>Ф2!D28</f>
        <v>0</v>
      </c>
      <c r="E28" s="115">
        <f>Ф2!E28</f>
        <v>0</v>
      </c>
      <c r="F28" s="115"/>
      <c r="G28" s="114"/>
      <c r="H28" s="283"/>
      <c r="I28" s="187"/>
      <c r="J28" s="187"/>
      <c r="K28" s="187"/>
      <c r="L28" s="187"/>
      <c r="M28" s="188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</row>
    <row r="29" spans="1:41" s="189" customFormat="1" ht="63" hidden="1" outlineLevel="1" x14ac:dyDescent="0.25">
      <c r="A29" s="186" t="s">
        <v>106</v>
      </c>
      <c r="B29" s="9" t="s">
        <v>102</v>
      </c>
      <c r="C29" s="187">
        <f>Ф2!C29</f>
        <v>0</v>
      </c>
      <c r="D29" s="187">
        <f>Ф2!D29</f>
        <v>0</v>
      </c>
      <c r="E29" s="115">
        <f>Ф2!E29</f>
        <v>0</v>
      </c>
      <c r="F29" s="115"/>
      <c r="G29" s="114"/>
      <c r="H29" s="283"/>
      <c r="I29" s="187"/>
      <c r="J29" s="187"/>
      <c r="K29" s="187"/>
      <c r="L29" s="187"/>
      <c r="M29" s="188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</row>
    <row r="30" spans="1:41" s="189" customFormat="1" ht="31.5" hidden="1" outlineLevel="1" x14ac:dyDescent="0.25">
      <c r="A30" s="186" t="s">
        <v>107</v>
      </c>
      <c r="B30" s="9" t="s">
        <v>99</v>
      </c>
      <c r="C30" s="187">
        <f>Ф2!C30</f>
        <v>0</v>
      </c>
      <c r="D30" s="187">
        <f>Ф2!D30</f>
        <v>0</v>
      </c>
      <c r="E30" s="115">
        <f>Ф2!E30</f>
        <v>0</v>
      </c>
      <c r="F30" s="115"/>
      <c r="G30" s="114"/>
      <c r="H30" s="283"/>
      <c r="I30" s="187"/>
      <c r="J30" s="187"/>
      <c r="K30" s="187"/>
      <c r="L30" s="187"/>
      <c r="M30" s="188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</row>
    <row r="31" spans="1:41" s="189" customFormat="1" ht="63" hidden="1" outlineLevel="1" x14ac:dyDescent="0.25">
      <c r="A31" s="186" t="s">
        <v>108</v>
      </c>
      <c r="B31" s="9" t="s">
        <v>100</v>
      </c>
      <c r="C31" s="187">
        <f>Ф2!C31</f>
        <v>0</v>
      </c>
      <c r="D31" s="187">
        <f>Ф2!D31</f>
        <v>0</v>
      </c>
      <c r="E31" s="115">
        <f>Ф2!E31</f>
        <v>0</v>
      </c>
      <c r="F31" s="115"/>
      <c r="G31" s="114"/>
      <c r="H31" s="283"/>
      <c r="I31" s="187"/>
      <c r="J31" s="187"/>
      <c r="K31" s="187"/>
      <c r="L31" s="187"/>
      <c r="M31" s="188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</row>
    <row r="32" spans="1:41" s="189" customFormat="1" ht="63" hidden="1" outlineLevel="1" x14ac:dyDescent="0.25">
      <c r="A32" s="186" t="s">
        <v>109</v>
      </c>
      <c r="B32" s="9" t="s">
        <v>101</v>
      </c>
      <c r="C32" s="187">
        <f>Ф2!C32</f>
        <v>0</v>
      </c>
      <c r="D32" s="187">
        <f>Ф2!D32</f>
        <v>0</v>
      </c>
      <c r="E32" s="115">
        <f>Ф2!E32</f>
        <v>0</v>
      </c>
      <c r="F32" s="115"/>
      <c r="G32" s="114"/>
      <c r="H32" s="283"/>
      <c r="I32" s="187"/>
      <c r="J32" s="187"/>
      <c r="K32" s="187"/>
      <c r="L32" s="187"/>
      <c r="M32" s="188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</row>
    <row r="33" spans="1:41" s="189" customFormat="1" ht="63" hidden="1" outlineLevel="1" x14ac:dyDescent="0.25">
      <c r="A33" s="186" t="s">
        <v>110</v>
      </c>
      <c r="B33" s="9" t="s">
        <v>104</v>
      </c>
      <c r="C33" s="187">
        <f>Ф2!C33</f>
        <v>0</v>
      </c>
      <c r="D33" s="187">
        <f>Ф2!D33</f>
        <v>0</v>
      </c>
      <c r="E33" s="115">
        <f>Ф2!E33</f>
        <v>0</v>
      </c>
      <c r="F33" s="115"/>
      <c r="G33" s="114"/>
      <c r="H33" s="283"/>
      <c r="I33" s="187"/>
      <c r="J33" s="187"/>
      <c r="K33" s="187"/>
      <c r="L33" s="187"/>
      <c r="M33" s="188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</row>
    <row r="34" spans="1:41" s="196" customFormat="1" ht="63" collapsed="1" x14ac:dyDescent="0.25">
      <c r="A34" s="194" t="s">
        <v>39</v>
      </c>
      <c r="B34" s="65" t="s">
        <v>40</v>
      </c>
      <c r="C34" s="195">
        <f>Ф2!C34</f>
        <v>0</v>
      </c>
      <c r="D34" s="195">
        <f>Ф2!D34</f>
        <v>0</v>
      </c>
      <c r="E34" s="195">
        <f>Ф2!E34</f>
        <v>0</v>
      </c>
      <c r="F34" s="195">
        <f>Ф2!F34</f>
        <v>0</v>
      </c>
      <c r="G34" s="195"/>
      <c r="H34" s="284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</row>
    <row r="35" spans="1:41" s="193" customFormat="1" ht="47.25" x14ac:dyDescent="0.25">
      <c r="A35" s="190" t="s">
        <v>111</v>
      </c>
      <c r="B35" s="10" t="s">
        <v>41</v>
      </c>
      <c r="C35" s="191">
        <f>Ф2!C35</f>
        <v>0</v>
      </c>
      <c r="D35" s="191">
        <f>Ф2!D35</f>
        <v>0</v>
      </c>
      <c r="E35" s="120">
        <f>Ф2!E35</f>
        <v>0</v>
      </c>
      <c r="F35" s="120"/>
      <c r="G35" s="119"/>
      <c r="H35" s="282"/>
      <c r="I35" s="191"/>
      <c r="J35" s="191"/>
      <c r="K35" s="191"/>
      <c r="L35" s="191"/>
      <c r="M35" s="192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</row>
    <row r="36" spans="1:41" s="185" customFormat="1" ht="31.5" x14ac:dyDescent="0.25">
      <c r="A36" s="183" t="s">
        <v>42</v>
      </c>
      <c r="B36" s="64" t="s">
        <v>43</v>
      </c>
      <c r="C36" s="184">
        <f>Ф2!C36</f>
        <v>0</v>
      </c>
      <c r="D36" s="184">
        <f>Ф2!D36</f>
        <v>0</v>
      </c>
      <c r="E36" s="184">
        <f>Ф2!E36</f>
        <v>0</v>
      </c>
      <c r="F36" s="117"/>
      <c r="G36" s="113"/>
      <c r="H36" s="280">
        <f>H37+H43+H50</f>
        <v>47.538322941666664</v>
      </c>
      <c r="I36" s="280">
        <f t="shared" ref="I36:AN36" si="5">I37+I43+I50</f>
        <v>0</v>
      </c>
      <c r="J36" s="280">
        <f t="shared" si="5"/>
        <v>0</v>
      </c>
      <c r="K36" s="280">
        <f t="shared" si="5"/>
        <v>55.212799093373988</v>
      </c>
      <c r="L36" s="280">
        <f t="shared" si="5"/>
        <v>0</v>
      </c>
      <c r="M36" s="280">
        <f t="shared" si="5"/>
        <v>19.718249698660593</v>
      </c>
      <c r="N36" s="280">
        <f t="shared" si="5"/>
        <v>35.494549394713395</v>
      </c>
      <c r="O36" s="280">
        <f t="shared" si="5"/>
        <v>0</v>
      </c>
      <c r="P36" s="280">
        <f t="shared" si="5"/>
        <v>0</v>
      </c>
      <c r="Q36" s="280">
        <f t="shared" si="5"/>
        <v>0</v>
      </c>
      <c r="R36" s="280">
        <f t="shared" si="5"/>
        <v>0</v>
      </c>
      <c r="S36" s="280">
        <f t="shared" si="5"/>
        <v>0</v>
      </c>
      <c r="T36" s="280">
        <f t="shared" si="5"/>
        <v>0</v>
      </c>
      <c r="U36" s="280">
        <f t="shared" si="5"/>
        <v>0</v>
      </c>
      <c r="V36" s="280">
        <f t="shared" si="5"/>
        <v>0</v>
      </c>
      <c r="W36" s="280">
        <f t="shared" si="5"/>
        <v>0</v>
      </c>
      <c r="X36" s="280">
        <f t="shared" si="5"/>
        <v>0</v>
      </c>
      <c r="Y36" s="280">
        <f t="shared" si="5"/>
        <v>0</v>
      </c>
      <c r="Z36" s="280">
        <f t="shared" si="5"/>
        <v>0</v>
      </c>
      <c r="AA36" s="280">
        <f t="shared" si="5"/>
        <v>0</v>
      </c>
      <c r="AB36" s="280">
        <f t="shared" si="5"/>
        <v>0</v>
      </c>
      <c r="AC36" s="280">
        <f t="shared" si="5"/>
        <v>8.1018356066666684</v>
      </c>
      <c r="AD36" s="280">
        <f t="shared" si="5"/>
        <v>0</v>
      </c>
      <c r="AE36" s="280">
        <f t="shared" si="5"/>
        <v>12.836795200860001</v>
      </c>
      <c r="AF36" s="280">
        <f t="shared" si="5"/>
        <v>0</v>
      </c>
      <c r="AG36" s="280">
        <f t="shared" si="5"/>
        <v>5.5140174466435194</v>
      </c>
      <c r="AH36" s="280">
        <f t="shared" si="5"/>
        <v>0</v>
      </c>
      <c r="AI36" s="280">
        <f t="shared" si="5"/>
        <v>12.637956039806838</v>
      </c>
      <c r="AJ36" s="280">
        <f t="shared" si="5"/>
        <v>0</v>
      </c>
      <c r="AK36" s="280">
        <f t="shared" si="5"/>
        <v>16.122194799396958</v>
      </c>
      <c r="AL36" s="280">
        <f t="shared" si="5"/>
        <v>0</v>
      </c>
      <c r="AM36" s="280">
        <f t="shared" si="5"/>
        <v>55.212799093373988</v>
      </c>
      <c r="AN36" s="280">
        <f t="shared" si="5"/>
        <v>0</v>
      </c>
      <c r="AO36" s="184"/>
    </row>
    <row r="37" spans="1:41" s="196" customFormat="1" ht="47.25" x14ac:dyDescent="0.25">
      <c r="A37" s="194" t="s">
        <v>79</v>
      </c>
      <c r="B37" s="65" t="s">
        <v>80</v>
      </c>
      <c r="C37" s="195">
        <f>Ф2!C37</f>
        <v>0</v>
      </c>
      <c r="D37" s="195">
        <f>Ф2!D37</f>
        <v>0</v>
      </c>
      <c r="E37" s="195">
        <f>Ф2!E37</f>
        <v>0</v>
      </c>
      <c r="F37" s="195">
        <f>Ф2!F37</f>
        <v>0</v>
      </c>
      <c r="G37" s="195">
        <f>Ф2!G37</f>
        <v>0</v>
      </c>
      <c r="H37" s="284">
        <f>H38</f>
        <v>13.862661275000001</v>
      </c>
      <c r="I37" s="284">
        <f t="shared" ref="I37:AN37" si="6">I38</f>
        <v>0</v>
      </c>
      <c r="J37" s="284">
        <f t="shared" si="6"/>
        <v>0</v>
      </c>
      <c r="K37" s="284">
        <f t="shared" si="6"/>
        <v>17.166907131026726</v>
      </c>
      <c r="L37" s="284">
        <f t="shared" si="6"/>
        <v>0</v>
      </c>
      <c r="M37" s="284">
        <f t="shared" si="6"/>
        <v>3.9274332191242705</v>
      </c>
      <c r="N37" s="284">
        <f t="shared" si="6"/>
        <v>13.239473911902454</v>
      </c>
      <c r="O37" s="284">
        <f t="shared" si="6"/>
        <v>0</v>
      </c>
      <c r="P37" s="284">
        <f t="shared" si="6"/>
        <v>0</v>
      </c>
      <c r="Q37" s="284">
        <f t="shared" si="6"/>
        <v>0</v>
      </c>
      <c r="R37" s="284">
        <f t="shared" si="6"/>
        <v>0</v>
      </c>
      <c r="S37" s="284">
        <f t="shared" si="6"/>
        <v>0</v>
      </c>
      <c r="T37" s="284">
        <f t="shared" si="6"/>
        <v>0</v>
      </c>
      <c r="U37" s="284">
        <f t="shared" si="6"/>
        <v>0</v>
      </c>
      <c r="V37" s="284">
        <f t="shared" si="6"/>
        <v>0</v>
      </c>
      <c r="W37" s="284">
        <f t="shared" si="6"/>
        <v>0</v>
      </c>
      <c r="X37" s="284">
        <f t="shared" si="6"/>
        <v>0</v>
      </c>
      <c r="Y37" s="284">
        <f t="shared" si="6"/>
        <v>0</v>
      </c>
      <c r="Z37" s="284">
        <f t="shared" si="6"/>
        <v>0</v>
      </c>
      <c r="AA37" s="284">
        <f t="shared" si="6"/>
        <v>0</v>
      </c>
      <c r="AB37" s="284">
        <f t="shared" si="6"/>
        <v>0</v>
      </c>
      <c r="AC37" s="284">
        <f t="shared" si="6"/>
        <v>0</v>
      </c>
      <c r="AD37" s="284">
        <f t="shared" si="6"/>
        <v>0</v>
      </c>
      <c r="AE37" s="284">
        <f t="shared" si="6"/>
        <v>0</v>
      </c>
      <c r="AF37" s="284">
        <f t="shared" si="6"/>
        <v>0</v>
      </c>
      <c r="AG37" s="284">
        <f t="shared" si="6"/>
        <v>0</v>
      </c>
      <c r="AH37" s="284">
        <f t="shared" si="6"/>
        <v>0</v>
      </c>
      <c r="AI37" s="284">
        <f t="shared" si="6"/>
        <v>6.1935780880810345</v>
      </c>
      <c r="AJ37" s="284">
        <f t="shared" si="6"/>
        <v>0</v>
      </c>
      <c r="AK37" s="284">
        <f t="shared" si="6"/>
        <v>10.973329042945689</v>
      </c>
      <c r="AL37" s="284">
        <f t="shared" si="6"/>
        <v>0</v>
      </c>
      <c r="AM37" s="284">
        <f t="shared" si="6"/>
        <v>17.166907131026726</v>
      </c>
      <c r="AN37" s="284">
        <f t="shared" si="6"/>
        <v>0</v>
      </c>
      <c r="AO37" s="195"/>
    </row>
    <row r="38" spans="1:41" s="200" customFormat="1" ht="31.5" x14ac:dyDescent="0.25">
      <c r="A38" s="197" t="s">
        <v>44</v>
      </c>
      <c r="B38" s="11" t="s">
        <v>45</v>
      </c>
      <c r="C38" s="198">
        <f>Ф2!C38</f>
        <v>0</v>
      </c>
      <c r="D38" s="198">
        <f>Ф2!D38</f>
        <v>0</v>
      </c>
      <c r="E38" s="198">
        <f>Ф2!E38</f>
        <v>0</v>
      </c>
      <c r="F38" s="198">
        <f>Ф2!F38</f>
        <v>0</v>
      </c>
      <c r="G38" s="198">
        <f>Ф2!G38</f>
        <v>0</v>
      </c>
      <c r="H38" s="285">
        <f>SUM(H39:H41)</f>
        <v>13.862661275000001</v>
      </c>
      <c r="I38" s="285">
        <f t="shared" ref="I38:AN38" si="7">SUM(I39:I41)</f>
        <v>0</v>
      </c>
      <c r="J38" s="285">
        <f t="shared" si="7"/>
        <v>0</v>
      </c>
      <c r="K38" s="285">
        <f t="shared" si="7"/>
        <v>17.166907131026726</v>
      </c>
      <c r="L38" s="285">
        <f t="shared" si="7"/>
        <v>0</v>
      </c>
      <c r="M38" s="285">
        <f t="shared" si="7"/>
        <v>3.9274332191242705</v>
      </c>
      <c r="N38" s="285">
        <f t="shared" si="7"/>
        <v>13.239473911902454</v>
      </c>
      <c r="O38" s="285">
        <f t="shared" si="7"/>
        <v>0</v>
      </c>
      <c r="P38" s="285">
        <f t="shared" si="7"/>
        <v>0</v>
      </c>
      <c r="Q38" s="285">
        <f t="shared" si="7"/>
        <v>0</v>
      </c>
      <c r="R38" s="285">
        <f t="shared" si="7"/>
        <v>0</v>
      </c>
      <c r="S38" s="285">
        <f t="shared" si="7"/>
        <v>0</v>
      </c>
      <c r="T38" s="285">
        <f t="shared" si="7"/>
        <v>0</v>
      </c>
      <c r="U38" s="285">
        <f t="shared" si="7"/>
        <v>0</v>
      </c>
      <c r="V38" s="285">
        <f t="shared" si="7"/>
        <v>0</v>
      </c>
      <c r="W38" s="285">
        <f t="shared" si="7"/>
        <v>0</v>
      </c>
      <c r="X38" s="285">
        <f t="shared" si="7"/>
        <v>0</v>
      </c>
      <c r="Y38" s="285">
        <f t="shared" si="7"/>
        <v>0</v>
      </c>
      <c r="Z38" s="285">
        <f t="shared" si="7"/>
        <v>0</v>
      </c>
      <c r="AA38" s="285">
        <f t="shared" si="7"/>
        <v>0</v>
      </c>
      <c r="AB38" s="285">
        <f t="shared" si="7"/>
        <v>0</v>
      </c>
      <c r="AC38" s="285">
        <f t="shared" si="7"/>
        <v>0</v>
      </c>
      <c r="AD38" s="285">
        <f t="shared" si="7"/>
        <v>0</v>
      </c>
      <c r="AE38" s="285">
        <f t="shared" si="7"/>
        <v>0</v>
      </c>
      <c r="AF38" s="285">
        <f t="shared" si="7"/>
        <v>0</v>
      </c>
      <c r="AG38" s="285">
        <f t="shared" si="7"/>
        <v>0</v>
      </c>
      <c r="AH38" s="285">
        <f t="shared" si="7"/>
        <v>0</v>
      </c>
      <c r="AI38" s="285">
        <f t="shared" si="7"/>
        <v>6.1935780880810345</v>
      </c>
      <c r="AJ38" s="285">
        <f t="shared" si="7"/>
        <v>0</v>
      </c>
      <c r="AK38" s="285">
        <f t="shared" si="7"/>
        <v>10.973329042945689</v>
      </c>
      <c r="AL38" s="285">
        <f t="shared" si="7"/>
        <v>0</v>
      </c>
      <c r="AM38" s="285">
        <f t="shared" si="7"/>
        <v>17.166907131026726</v>
      </c>
      <c r="AN38" s="285">
        <f t="shared" si="7"/>
        <v>0</v>
      </c>
      <c r="AO38" s="198"/>
    </row>
    <row r="39" spans="1:41" s="362" customFormat="1" ht="30" customHeight="1" x14ac:dyDescent="0.25">
      <c r="A39" s="14" t="s">
        <v>46</v>
      </c>
      <c r="B39" s="417" t="s">
        <v>735</v>
      </c>
      <c r="C39" s="390" t="s">
        <v>721</v>
      </c>
      <c r="D39" s="393" t="str">
        <f>Ф2!D39</f>
        <v>П</v>
      </c>
      <c r="E39" s="391">
        <f>Ф2!E39</f>
        <v>2022</v>
      </c>
      <c r="F39" s="391">
        <f>Ф2!F39</f>
        <v>2022</v>
      </c>
      <c r="G39" s="447">
        <f>Ф2!G39</f>
        <v>0</v>
      </c>
      <c r="H39" s="393">
        <f>Ф2!H39/1.2</f>
        <v>0</v>
      </c>
      <c r="I39" s="393">
        <f>Ф2!K39/1.2</f>
        <v>0</v>
      </c>
      <c r="J39" s="393">
        <v>0</v>
      </c>
      <c r="K39" s="393">
        <f>SUM(L39:O39)</f>
        <v>0</v>
      </c>
      <c r="L39" s="393"/>
      <c r="M39" s="396">
        <f>Ф2!Q39/1.2-Ф3!N39-Ф3!L39</f>
        <v>0</v>
      </c>
      <c r="N39" s="396"/>
      <c r="O39" s="393"/>
      <c r="P39" s="393">
        <f>SUM(Q39:T39)</f>
        <v>0</v>
      </c>
      <c r="Q39" s="393"/>
      <c r="R39" s="393"/>
      <c r="S39" s="393">
        <v>0</v>
      </c>
      <c r="T39" s="393">
        <v>0</v>
      </c>
      <c r="U39" s="393">
        <v>0</v>
      </c>
      <c r="V39" s="393">
        <v>0</v>
      </c>
      <c r="W39" s="393">
        <v>0</v>
      </c>
      <c r="X39" s="393">
        <v>0</v>
      </c>
      <c r="Y39" s="393">
        <v>0</v>
      </c>
      <c r="Z39" s="393">
        <v>0</v>
      </c>
      <c r="AA39" s="393">
        <v>0</v>
      </c>
      <c r="AB39" s="393">
        <v>0</v>
      </c>
      <c r="AC39" s="400">
        <f>IF(F39=2022,K39,0)</f>
        <v>0</v>
      </c>
      <c r="AD39" s="393">
        <f>P39</f>
        <v>0</v>
      </c>
      <c r="AE39" s="400">
        <f>IF(F39=2023,K39,0)</f>
        <v>0</v>
      </c>
      <c r="AF39" s="393">
        <f>0</f>
        <v>0</v>
      </c>
      <c r="AG39" s="400">
        <f>IF(F39=2024,K39,0)</f>
        <v>0</v>
      </c>
      <c r="AH39" s="393">
        <v>0</v>
      </c>
      <c r="AI39" s="400">
        <f>IF(F39=2025,K39,0)</f>
        <v>0</v>
      </c>
      <c r="AJ39" s="393">
        <v>0</v>
      </c>
      <c r="AK39" s="400">
        <f>IF(F39=2026,K39,0)</f>
        <v>0</v>
      </c>
      <c r="AL39" s="393">
        <v>0</v>
      </c>
      <c r="AM39" s="393">
        <f>AC39+AE39+AG39+AI39+AK39</f>
        <v>0</v>
      </c>
      <c r="AN39" s="393">
        <f>AD39+AF39+AL39</f>
        <v>0</v>
      </c>
      <c r="AO39" s="450" t="s">
        <v>753</v>
      </c>
    </row>
    <row r="40" spans="1:41" s="395" customFormat="1" ht="63" x14ac:dyDescent="0.25">
      <c r="A40" s="14" t="s">
        <v>527</v>
      </c>
      <c r="B40" s="419" t="s">
        <v>736</v>
      </c>
      <c r="C40" s="390" t="s">
        <v>722</v>
      </c>
      <c r="D40" s="393" t="str">
        <f>Ф2!D40</f>
        <v>П</v>
      </c>
      <c r="E40" s="391">
        <f>Ф2!E40</f>
        <v>2025</v>
      </c>
      <c r="F40" s="391">
        <f>Ф2!F40</f>
        <v>2025</v>
      </c>
      <c r="G40" s="447">
        <f>Ф2!G40</f>
        <v>0</v>
      </c>
      <c r="H40" s="393">
        <f>Ф2!H40/1.2</f>
        <v>5.1492062750000001</v>
      </c>
      <c r="I40" s="393">
        <v>0</v>
      </c>
      <c r="J40" s="393"/>
      <c r="K40" s="393">
        <f>SUM(L40:O40)</f>
        <v>6.1935780880810345</v>
      </c>
      <c r="L40" s="393"/>
      <c r="M40" s="396">
        <f>Ф2!Q40/1.2-Ф3!N40-Ф3!L40</f>
        <v>0.77847388300802667</v>
      </c>
      <c r="N40" s="396">
        <f>4.502*Ф17!E15*Ф17!F15*Ф17!G15*Ф17!H15</f>
        <v>5.4151042050730078</v>
      </c>
      <c r="O40" s="393"/>
      <c r="P40" s="393">
        <f>SUM(Q40:T40)</f>
        <v>0</v>
      </c>
      <c r="Q40" s="393">
        <v>0</v>
      </c>
      <c r="R40" s="393">
        <v>0</v>
      </c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400">
        <f t="shared" ref="AC40:AC41" si="8">IF(F40=2022,K40,0)</f>
        <v>0</v>
      </c>
      <c r="AD40" s="393"/>
      <c r="AE40" s="400">
        <f t="shared" ref="AE40:AE41" si="9">IF(F40=2023,K40,0)</f>
        <v>0</v>
      </c>
      <c r="AF40" s="393">
        <f>I40</f>
        <v>0</v>
      </c>
      <c r="AG40" s="400">
        <f t="shared" ref="AG40:AG41" si="10">IF(F40=2024,K40,0)</f>
        <v>0</v>
      </c>
      <c r="AH40" s="393"/>
      <c r="AI40" s="400">
        <f t="shared" ref="AI40:AI41" si="11">IF(F40=2025,K40,0)</f>
        <v>6.1935780880810345</v>
      </c>
      <c r="AJ40" s="393"/>
      <c r="AK40" s="400">
        <f t="shared" ref="AK40:AK41" si="12">IF(F40=2026,K40,0)</f>
        <v>0</v>
      </c>
      <c r="AL40" s="393"/>
      <c r="AM40" s="393">
        <f t="shared" ref="AM40:AM41" si="13">AC40+AE40+AG40+AI40+AK40</f>
        <v>6.1935780880810345</v>
      </c>
      <c r="AN40" s="393">
        <f>AD40+AF40+AL40</f>
        <v>0</v>
      </c>
      <c r="AO40" s="451" t="s">
        <v>754</v>
      </c>
    </row>
    <row r="41" spans="1:41" s="395" customFormat="1" ht="31.5" x14ac:dyDescent="0.25">
      <c r="A41" s="14" t="s">
        <v>700</v>
      </c>
      <c r="B41" s="419" t="s">
        <v>737</v>
      </c>
      <c r="C41" s="390" t="s">
        <v>723</v>
      </c>
      <c r="D41" s="397" t="s">
        <v>146</v>
      </c>
      <c r="E41" s="391">
        <f>Ф2!E41</f>
        <v>2026</v>
      </c>
      <c r="F41" s="391">
        <f>Ф2!F41</f>
        <v>2026</v>
      </c>
      <c r="G41" s="391"/>
      <c r="H41" s="393">
        <f>Ф2!H41/1.2</f>
        <v>8.7134550000000015</v>
      </c>
      <c r="I41" s="393"/>
      <c r="J41" s="393"/>
      <c r="K41" s="393">
        <f>SUM(L41:O41)</f>
        <v>10.973329042945689</v>
      </c>
      <c r="L41" s="393"/>
      <c r="M41" s="396">
        <f>Ф2!Q41/1.2-Ф3!N41-Ф3!L41</f>
        <v>3.1489593361162438</v>
      </c>
      <c r="N41" s="396">
        <f>6.213*Ф17!E15*Ф17!F15*Ф17!G15*Ф17!H15*Ф17!I15</f>
        <v>7.8243697068294455</v>
      </c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400">
        <f t="shared" si="8"/>
        <v>0</v>
      </c>
      <c r="AD41" s="393"/>
      <c r="AE41" s="400">
        <f t="shared" si="9"/>
        <v>0</v>
      </c>
      <c r="AF41" s="393"/>
      <c r="AG41" s="400">
        <f t="shared" si="10"/>
        <v>0</v>
      </c>
      <c r="AH41" s="393"/>
      <c r="AI41" s="400">
        <f t="shared" si="11"/>
        <v>0</v>
      </c>
      <c r="AJ41" s="393"/>
      <c r="AK41" s="400">
        <f t="shared" si="12"/>
        <v>10.973329042945689</v>
      </c>
      <c r="AL41" s="393"/>
      <c r="AM41" s="393">
        <f t="shared" si="13"/>
        <v>10.973329042945689</v>
      </c>
      <c r="AN41" s="393"/>
      <c r="AO41" s="450" t="s">
        <v>753</v>
      </c>
    </row>
    <row r="42" spans="1:41" s="200" customFormat="1" ht="31.5" x14ac:dyDescent="0.25">
      <c r="A42" s="197" t="s">
        <v>112</v>
      </c>
      <c r="B42" s="11" t="s">
        <v>113</v>
      </c>
      <c r="C42" s="198">
        <f>Ф2!C42</f>
        <v>0</v>
      </c>
      <c r="D42" s="198">
        <f>Ф2!D42</f>
        <v>0</v>
      </c>
      <c r="E42" s="198">
        <f>Ф2!E42</f>
        <v>0</v>
      </c>
      <c r="F42" s="198">
        <f>Ф2!F42</f>
        <v>0</v>
      </c>
      <c r="G42" s="198">
        <f>Ф2!G42</f>
        <v>0</v>
      </c>
      <c r="H42" s="285"/>
      <c r="I42" s="198"/>
      <c r="J42" s="198"/>
      <c r="K42" s="198"/>
      <c r="L42" s="198"/>
      <c r="M42" s="199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s="196" customFormat="1" ht="31.5" x14ac:dyDescent="0.25">
      <c r="A43" s="194" t="s">
        <v>47</v>
      </c>
      <c r="B43" s="65" t="s">
        <v>48</v>
      </c>
      <c r="C43" s="195">
        <f>Ф2!C43</f>
        <v>0</v>
      </c>
      <c r="D43" s="195">
        <f>Ф2!D43</f>
        <v>0</v>
      </c>
      <c r="E43" s="195">
        <f>Ф2!E43</f>
        <v>0</v>
      </c>
      <c r="F43" s="195">
        <f>Ф2!F43</f>
        <v>0</v>
      </c>
      <c r="G43" s="195">
        <f>Ф2!G43</f>
        <v>0</v>
      </c>
      <c r="H43" s="284">
        <f>H44</f>
        <v>9.3183950000000006</v>
      </c>
      <c r="I43" s="284">
        <f t="shared" ref="I43:AN43" si="14">I44</f>
        <v>0</v>
      </c>
      <c r="J43" s="284">
        <f t="shared" si="14"/>
        <v>0</v>
      </c>
      <c r="K43" s="284">
        <f t="shared" si="14"/>
        <v>10.463815910299223</v>
      </c>
      <c r="L43" s="284">
        <f t="shared" si="14"/>
        <v>0</v>
      </c>
      <c r="M43" s="284">
        <f t="shared" si="14"/>
        <v>9.5347760010291118</v>
      </c>
      <c r="N43" s="284">
        <f t="shared" si="14"/>
        <v>0.92903990927011193</v>
      </c>
      <c r="O43" s="284">
        <f t="shared" si="14"/>
        <v>0</v>
      </c>
      <c r="P43" s="284">
        <f t="shared" si="14"/>
        <v>0</v>
      </c>
      <c r="Q43" s="284">
        <f t="shared" si="14"/>
        <v>0</v>
      </c>
      <c r="R43" s="284">
        <f t="shared" si="14"/>
        <v>0</v>
      </c>
      <c r="S43" s="284">
        <f t="shared" si="14"/>
        <v>0</v>
      </c>
      <c r="T43" s="284">
        <f t="shared" si="14"/>
        <v>0</v>
      </c>
      <c r="U43" s="284">
        <f t="shared" si="14"/>
        <v>0</v>
      </c>
      <c r="V43" s="284">
        <f t="shared" si="14"/>
        <v>0</v>
      </c>
      <c r="W43" s="284">
        <f t="shared" si="14"/>
        <v>0</v>
      </c>
      <c r="X43" s="284">
        <f t="shared" si="14"/>
        <v>0</v>
      </c>
      <c r="Y43" s="284">
        <f t="shared" si="14"/>
        <v>0</v>
      </c>
      <c r="Z43" s="284">
        <f t="shared" si="14"/>
        <v>0</v>
      </c>
      <c r="AA43" s="284">
        <f t="shared" si="14"/>
        <v>0</v>
      </c>
      <c r="AB43" s="284">
        <f t="shared" si="14"/>
        <v>0</v>
      </c>
      <c r="AC43" s="284">
        <f t="shared" si="14"/>
        <v>0</v>
      </c>
      <c r="AD43" s="284">
        <f t="shared" si="14"/>
        <v>0</v>
      </c>
      <c r="AE43" s="284">
        <f t="shared" si="14"/>
        <v>6.8924035058200008</v>
      </c>
      <c r="AF43" s="284">
        <f t="shared" si="14"/>
        <v>0</v>
      </c>
      <c r="AG43" s="284">
        <f t="shared" si="14"/>
        <v>1.7328179360234399</v>
      </c>
      <c r="AH43" s="284">
        <f t="shared" si="14"/>
        <v>0</v>
      </c>
      <c r="AI43" s="284">
        <f t="shared" si="14"/>
        <v>1.8385944684557829</v>
      </c>
      <c r="AJ43" s="284">
        <f t="shared" si="14"/>
        <v>0</v>
      </c>
      <c r="AK43" s="284">
        <f t="shared" si="14"/>
        <v>0</v>
      </c>
      <c r="AL43" s="284">
        <f t="shared" si="14"/>
        <v>0</v>
      </c>
      <c r="AM43" s="284">
        <f t="shared" si="14"/>
        <v>10.463815910299223</v>
      </c>
      <c r="AN43" s="284">
        <f t="shared" si="14"/>
        <v>0</v>
      </c>
      <c r="AO43" s="195"/>
    </row>
    <row r="44" spans="1:41" s="200" customFormat="1" x14ac:dyDescent="0.25">
      <c r="A44" s="197" t="s">
        <v>74</v>
      </c>
      <c r="B44" s="11" t="s">
        <v>75</v>
      </c>
      <c r="C44" s="198">
        <f>Ф2!C44</f>
        <v>0</v>
      </c>
      <c r="D44" s="198">
        <f>Ф2!D44</f>
        <v>0</v>
      </c>
      <c r="E44" s="198">
        <f>Ф2!E44</f>
        <v>0</v>
      </c>
      <c r="F44" s="198">
        <f>Ф2!F44</f>
        <v>0</v>
      </c>
      <c r="G44" s="198">
        <f>Ф2!G44</f>
        <v>0</v>
      </c>
      <c r="H44" s="301">
        <f>SUM(H45:H48)</f>
        <v>9.3183950000000006</v>
      </c>
      <c r="I44" s="301">
        <f t="shared" ref="I44:AN44" si="15">SUM(I45:I48)</f>
        <v>0</v>
      </c>
      <c r="J44" s="301">
        <f t="shared" si="15"/>
        <v>0</v>
      </c>
      <c r="K44" s="301">
        <f t="shared" si="15"/>
        <v>10.463815910299223</v>
      </c>
      <c r="L44" s="301">
        <f t="shared" si="15"/>
        <v>0</v>
      </c>
      <c r="M44" s="301">
        <f t="shared" si="15"/>
        <v>9.5347760010291118</v>
      </c>
      <c r="N44" s="301">
        <f t="shared" si="15"/>
        <v>0.92903990927011193</v>
      </c>
      <c r="O44" s="301">
        <f t="shared" si="15"/>
        <v>0</v>
      </c>
      <c r="P44" s="301">
        <f t="shared" si="15"/>
        <v>0</v>
      </c>
      <c r="Q44" s="301">
        <f t="shared" si="15"/>
        <v>0</v>
      </c>
      <c r="R44" s="301">
        <f t="shared" si="15"/>
        <v>0</v>
      </c>
      <c r="S44" s="301">
        <f t="shared" si="15"/>
        <v>0</v>
      </c>
      <c r="T44" s="301">
        <f t="shared" si="15"/>
        <v>0</v>
      </c>
      <c r="U44" s="301">
        <f t="shared" si="15"/>
        <v>0</v>
      </c>
      <c r="V44" s="301">
        <f t="shared" si="15"/>
        <v>0</v>
      </c>
      <c r="W44" s="301">
        <f t="shared" si="15"/>
        <v>0</v>
      </c>
      <c r="X44" s="301">
        <f t="shared" si="15"/>
        <v>0</v>
      </c>
      <c r="Y44" s="301">
        <f t="shared" si="15"/>
        <v>0</v>
      </c>
      <c r="Z44" s="301">
        <f t="shared" si="15"/>
        <v>0</v>
      </c>
      <c r="AA44" s="301">
        <f t="shared" si="15"/>
        <v>0</v>
      </c>
      <c r="AB44" s="301">
        <f t="shared" si="15"/>
        <v>0</v>
      </c>
      <c r="AC44" s="301">
        <f t="shared" si="15"/>
        <v>0</v>
      </c>
      <c r="AD44" s="301">
        <f t="shared" si="15"/>
        <v>0</v>
      </c>
      <c r="AE44" s="301">
        <f t="shared" si="15"/>
        <v>6.8924035058200008</v>
      </c>
      <c r="AF44" s="301">
        <f t="shared" si="15"/>
        <v>0</v>
      </c>
      <c r="AG44" s="301">
        <f t="shared" si="15"/>
        <v>1.7328179360234399</v>
      </c>
      <c r="AH44" s="301">
        <f t="shared" si="15"/>
        <v>0</v>
      </c>
      <c r="AI44" s="301">
        <f t="shared" si="15"/>
        <v>1.8385944684557829</v>
      </c>
      <c r="AJ44" s="301">
        <f t="shared" si="15"/>
        <v>0</v>
      </c>
      <c r="AK44" s="301">
        <f t="shared" si="15"/>
        <v>0</v>
      </c>
      <c r="AL44" s="301">
        <f t="shared" si="15"/>
        <v>0</v>
      </c>
      <c r="AM44" s="301">
        <f t="shared" si="15"/>
        <v>10.463815910299223</v>
      </c>
      <c r="AN44" s="301">
        <f t="shared" si="15"/>
        <v>0</v>
      </c>
      <c r="AO44" s="198"/>
    </row>
    <row r="45" spans="1:41" s="362" customFormat="1" ht="94.5" x14ac:dyDescent="0.25">
      <c r="A45" s="14" t="s">
        <v>76</v>
      </c>
      <c r="B45" s="417" t="s">
        <v>738</v>
      </c>
      <c r="C45" s="390" t="s">
        <v>724</v>
      </c>
      <c r="D45" s="351" t="str">
        <f>Ф2!D45</f>
        <v>П</v>
      </c>
      <c r="E45" s="391">
        <f>Ф2!E45</f>
        <v>2023</v>
      </c>
      <c r="F45" s="391">
        <f>Ф2!F45</f>
        <v>2023</v>
      </c>
      <c r="G45" s="391"/>
      <c r="H45" s="393">
        <f>Ф2!H45/1.2</f>
        <v>6.2814908333333337</v>
      </c>
      <c r="I45" s="393">
        <f>Ф2!L45/1.2</f>
        <v>0</v>
      </c>
      <c r="J45" s="393"/>
      <c r="K45" s="393">
        <f t="shared" ref="K45:K47" si="16">SUM(L45:O45)</f>
        <v>6.8924035058200008</v>
      </c>
      <c r="L45" s="393"/>
      <c r="M45" s="396">
        <f>Ф2!Q45/1.2-Ф3!N45-Ф3!L45</f>
        <v>5.9970426098200011</v>
      </c>
      <c r="N45" s="393">
        <f>0.816*Ф17!E15*Ф17!F15</f>
        <v>0.89536089599999991</v>
      </c>
      <c r="O45" s="393"/>
      <c r="P45" s="393">
        <f>Ф2!S45/1.2</f>
        <v>0</v>
      </c>
      <c r="Q45" s="393"/>
      <c r="R45" s="393">
        <v>0</v>
      </c>
      <c r="S45" s="393">
        <v>0</v>
      </c>
      <c r="T45" s="393"/>
      <c r="U45" s="393"/>
      <c r="V45" s="393"/>
      <c r="W45" s="393"/>
      <c r="X45" s="393"/>
      <c r="Y45" s="393"/>
      <c r="Z45" s="393"/>
      <c r="AA45" s="393"/>
      <c r="AB45" s="393"/>
      <c r="AC45" s="400">
        <f>IF(F45=2022,K45,0)</f>
        <v>0</v>
      </c>
      <c r="AD45" s="393"/>
      <c r="AE45" s="400">
        <f>IF(F45=2023,K45,0)</f>
        <v>6.8924035058200008</v>
      </c>
      <c r="AF45" s="393">
        <f>P45</f>
        <v>0</v>
      </c>
      <c r="AG45" s="400">
        <f t="shared" ref="AG45:AG48" si="17">IF(F45=2024,K45,0)</f>
        <v>0</v>
      </c>
      <c r="AH45" s="393">
        <v>0</v>
      </c>
      <c r="AI45" s="400">
        <f t="shared" ref="AI45:AI48" si="18">IF(F45=2025,K45,0)</f>
        <v>0</v>
      </c>
      <c r="AJ45" s="393">
        <v>0</v>
      </c>
      <c r="AK45" s="400">
        <f t="shared" ref="AK45:AK48" si="19">IF(F45=2026,K45,0)</f>
        <v>0</v>
      </c>
      <c r="AL45" s="393">
        <v>0</v>
      </c>
      <c r="AM45" s="393">
        <f t="shared" ref="AM45:AM48" si="20">AC45+AE45+AG45+AI45+AK45</f>
        <v>6.8924035058200008</v>
      </c>
      <c r="AN45" s="393">
        <f>AD45+AF45+AL45</f>
        <v>0</v>
      </c>
      <c r="AO45" s="452" t="s">
        <v>755</v>
      </c>
    </row>
    <row r="46" spans="1:41" s="395" customFormat="1" ht="15.75" customHeight="1" x14ac:dyDescent="0.25">
      <c r="A46" s="14" t="s">
        <v>659</v>
      </c>
      <c r="B46" s="417" t="s">
        <v>739</v>
      </c>
      <c r="C46" s="390" t="s">
        <v>725</v>
      </c>
      <c r="D46" s="351" t="str">
        <f>Ф2!D46</f>
        <v>П</v>
      </c>
      <c r="E46" s="391">
        <f>Ф2!E46</f>
        <v>2024</v>
      </c>
      <c r="F46" s="391">
        <f>Ф2!F46</f>
        <v>2024</v>
      </c>
      <c r="G46" s="391"/>
      <c r="H46" s="393">
        <f>Ф2!H46/1.2</f>
        <v>0.73764333333333332</v>
      </c>
      <c r="I46" s="393">
        <f>Ф2!K46/1.2</f>
        <v>0</v>
      </c>
      <c r="J46" s="393"/>
      <c r="K46" s="393">
        <f t="shared" si="16"/>
        <v>0.84742460130791997</v>
      </c>
      <c r="L46" s="393"/>
      <c r="M46" s="396">
        <f>Ф2!Q46/1.2-Ф3!N46-Ф3!L46</f>
        <v>0.84742460130791997</v>
      </c>
      <c r="N46" s="393">
        <v>0</v>
      </c>
      <c r="O46" s="393"/>
      <c r="P46" s="393">
        <f>I46*Ф17!$G$15</f>
        <v>0</v>
      </c>
      <c r="Q46" s="393"/>
      <c r="R46" s="393">
        <v>0</v>
      </c>
      <c r="S46" s="393">
        <v>0</v>
      </c>
      <c r="T46" s="393"/>
      <c r="U46" s="393"/>
      <c r="V46" s="393"/>
      <c r="W46" s="393"/>
      <c r="X46" s="393"/>
      <c r="Y46" s="393"/>
      <c r="Z46" s="393"/>
      <c r="AA46" s="393"/>
      <c r="AB46" s="393"/>
      <c r="AC46" s="400">
        <f t="shared" ref="AC46:AC47" si="21">IF(F46=2022,K46,0)</f>
        <v>0</v>
      </c>
      <c r="AD46" s="393"/>
      <c r="AE46" s="400">
        <f t="shared" ref="AE46:AE48" si="22">IF(F46=2023,K46,0)</f>
        <v>0</v>
      </c>
      <c r="AF46" s="393"/>
      <c r="AG46" s="400">
        <f t="shared" si="17"/>
        <v>0.84742460130791997</v>
      </c>
      <c r="AH46" s="393">
        <f>L46</f>
        <v>0</v>
      </c>
      <c r="AI46" s="400">
        <f t="shared" si="18"/>
        <v>0</v>
      </c>
      <c r="AJ46" s="393">
        <f>N46</f>
        <v>0</v>
      </c>
      <c r="AK46" s="400">
        <f t="shared" si="19"/>
        <v>0</v>
      </c>
      <c r="AL46" s="393">
        <f>P46</f>
        <v>0</v>
      </c>
      <c r="AM46" s="393">
        <f t="shared" si="20"/>
        <v>0.84742460130791997</v>
      </c>
      <c r="AN46" s="393">
        <f>AL46</f>
        <v>0</v>
      </c>
      <c r="AO46" s="635" t="s">
        <v>753</v>
      </c>
    </row>
    <row r="47" spans="1:41" s="395" customFormat="1" x14ac:dyDescent="0.25">
      <c r="A47" s="14" t="s">
        <v>661</v>
      </c>
      <c r="B47" s="417" t="s">
        <v>740</v>
      </c>
      <c r="C47" s="390" t="s">
        <v>726</v>
      </c>
      <c r="D47" s="351" t="str">
        <f>Ф2!D47</f>
        <v>П</v>
      </c>
      <c r="E47" s="391">
        <f>Ф2!E47</f>
        <v>2024</v>
      </c>
      <c r="F47" s="391">
        <f>Ф2!F47</f>
        <v>2024</v>
      </c>
      <c r="G47" s="391"/>
      <c r="H47" s="393">
        <f>Ф2!H47/1.2</f>
        <v>0.77069333333333334</v>
      </c>
      <c r="I47" s="393">
        <f>Ф2!K47/1.2</f>
        <v>0</v>
      </c>
      <c r="J47" s="393"/>
      <c r="K47" s="393">
        <f t="shared" si="16"/>
        <v>0.88539333471551984</v>
      </c>
      <c r="L47" s="393"/>
      <c r="M47" s="396">
        <f>Ф2!Q47/1.2-Ф3!N47-Ф3!L47</f>
        <v>0.88539333471551984</v>
      </c>
      <c r="N47" s="393">
        <v>0</v>
      </c>
      <c r="O47" s="393"/>
      <c r="P47" s="393">
        <f>I47*Ф17!$G$15</f>
        <v>0</v>
      </c>
      <c r="Q47" s="393"/>
      <c r="R47" s="393">
        <v>0</v>
      </c>
      <c r="S47" s="393">
        <v>0</v>
      </c>
      <c r="T47" s="393"/>
      <c r="U47" s="393"/>
      <c r="V47" s="393"/>
      <c r="W47" s="393"/>
      <c r="X47" s="393"/>
      <c r="Y47" s="393"/>
      <c r="Z47" s="393"/>
      <c r="AA47" s="393"/>
      <c r="AB47" s="393"/>
      <c r="AC47" s="400">
        <f t="shared" si="21"/>
        <v>0</v>
      </c>
      <c r="AD47" s="393"/>
      <c r="AE47" s="400">
        <f t="shared" si="22"/>
        <v>0</v>
      </c>
      <c r="AF47" s="393"/>
      <c r="AG47" s="400">
        <f t="shared" si="17"/>
        <v>0.88539333471551984</v>
      </c>
      <c r="AH47" s="393">
        <f>L47</f>
        <v>0</v>
      </c>
      <c r="AI47" s="400">
        <f t="shared" si="18"/>
        <v>0</v>
      </c>
      <c r="AJ47" s="393">
        <f>N47</f>
        <v>0</v>
      </c>
      <c r="AK47" s="400">
        <f t="shared" si="19"/>
        <v>0</v>
      </c>
      <c r="AL47" s="393">
        <f>P47</f>
        <v>0</v>
      </c>
      <c r="AM47" s="393">
        <f t="shared" si="20"/>
        <v>0.88539333471551984</v>
      </c>
      <c r="AN47" s="393">
        <f>AL47</f>
        <v>0</v>
      </c>
      <c r="AO47" s="636"/>
    </row>
    <row r="48" spans="1:41" s="362" customFormat="1" ht="63" x14ac:dyDescent="0.25">
      <c r="A48" s="14" t="s">
        <v>662</v>
      </c>
      <c r="B48" s="417" t="s">
        <v>741</v>
      </c>
      <c r="C48" s="390" t="s">
        <v>727</v>
      </c>
      <c r="D48" s="351" t="str">
        <f>Ф2!D48</f>
        <v>П</v>
      </c>
      <c r="E48" s="391">
        <f>Ф2!E48</f>
        <v>2025</v>
      </c>
      <c r="F48" s="391">
        <f>Ф2!F48</f>
        <v>2025</v>
      </c>
      <c r="G48" s="391"/>
      <c r="H48" s="393">
        <f>Ф2!H48/1.2</f>
        <v>1.5285674999999999</v>
      </c>
      <c r="I48" s="393">
        <f>Ф2!K48/1.18</f>
        <v>0</v>
      </c>
      <c r="J48" s="393">
        <v>0</v>
      </c>
      <c r="K48" s="393">
        <f>SUM(L48:O48)</f>
        <v>1.8385944684557829</v>
      </c>
      <c r="L48" s="393">
        <v>0</v>
      </c>
      <c r="M48" s="396">
        <f>Ф2!Q48/1.2-Ф3!N48-Ф3!L48</f>
        <v>1.804915455185671</v>
      </c>
      <c r="N48" s="396">
        <f>0.028*Ф17!E15*Ф17!F15*Ф17!G15*Ф17!H15</f>
        <v>3.3679013270111996E-2</v>
      </c>
      <c r="O48" s="393">
        <v>0</v>
      </c>
      <c r="P48" s="393">
        <f>SUM(Q48:T48)</f>
        <v>0</v>
      </c>
      <c r="Q48" s="393">
        <v>0</v>
      </c>
      <c r="R48" s="393">
        <v>0</v>
      </c>
      <c r="S48" s="393">
        <v>0</v>
      </c>
      <c r="T48" s="393">
        <v>0</v>
      </c>
      <c r="U48" s="393">
        <v>0</v>
      </c>
      <c r="V48" s="393">
        <v>0</v>
      </c>
      <c r="W48" s="393">
        <v>0</v>
      </c>
      <c r="X48" s="393">
        <v>0</v>
      </c>
      <c r="Y48" s="393">
        <v>0</v>
      </c>
      <c r="Z48" s="393">
        <v>0</v>
      </c>
      <c r="AA48" s="393">
        <v>0</v>
      </c>
      <c r="AB48" s="393">
        <v>0</v>
      </c>
      <c r="AC48" s="400">
        <f>IF(F48=2022,K48,0)</f>
        <v>0</v>
      </c>
      <c r="AD48" s="393">
        <v>0</v>
      </c>
      <c r="AE48" s="400">
        <f t="shared" si="22"/>
        <v>0</v>
      </c>
      <c r="AF48" s="393">
        <v>0</v>
      </c>
      <c r="AG48" s="400">
        <f t="shared" si="17"/>
        <v>0</v>
      </c>
      <c r="AH48" s="393">
        <f>L48</f>
        <v>0</v>
      </c>
      <c r="AI48" s="400">
        <f t="shared" si="18"/>
        <v>1.8385944684557829</v>
      </c>
      <c r="AJ48" s="393"/>
      <c r="AK48" s="400">
        <f t="shared" si="19"/>
        <v>0</v>
      </c>
      <c r="AL48" s="393">
        <f>P48</f>
        <v>0</v>
      </c>
      <c r="AM48" s="393">
        <f t="shared" si="20"/>
        <v>1.8385944684557829</v>
      </c>
      <c r="AN48" s="393">
        <f>AD48+AF48+AL48</f>
        <v>0</v>
      </c>
      <c r="AO48" s="452" t="s">
        <v>756</v>
      </c>
    </row>
    <row r="49" spans="1:41" s="200" customFormat="1" ht="31.5" hidden="1" x14ac:dyDescent="0.25">
      <c r="A49" s="197" t="s">
        <v>114</v>
      </c>
      <c r="B49" s="11" t="s">
        <v>115</v>
      </c>
      <c r="C49" s="198">
        <f>Ф2!C49</f>
        <v>0</v>
      </c>
      <c r="D49" s="198">
        <f>Ф2!D49</f>
        <v>0</v>
      </c>
      <c r="E49" s="125">
        <f>Ф2!E49</f>
        <v>0</v>
      </c>
      <c r="F49" s="125"/>
      <c r="G49" s="124"/>
      <c r="H49" s="285"/>
      <c r="I49" s="198"/>
      <c r="J49" s="198"/>
      <c r="K49" s="198"/>
      <c r="L49" s="198"/>
      <c r="M49" s="199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</row>
    <row r="50" spans="1:41" s="196" customFormat="1" ht="31.5" x14ac:dyDescent="0.25">
      <c r="A50" s="194" t="s">
        <v>116</v>
      </c>
      <c r="B50" s="65" t="s">
        <v>117</v>
      </c>
      <c r="C50" s="195">
        <f>Ф2!C50</f>
        <v>0</v>
      </c>
      <c r="D50" s="195">
        <f>Ф2!D50</f>
        <v>0</v>
      </c>
      <c r="E50" s="195">
        <f>Ф2!E50</f>
        <v>0</v>
      </c>
      <c r="F50" s="195">
        <f>Ф2!F50</f>
        <v>0</v>
      </c>
      <c r="G50" s="195">
        <f>Ф2!G50</f>
        <v>0</v>
      </c>
      <c r="H50" s="284">
        <f>H51</f>
        <v>24.357266666666664</v>
      </c>
      <c r="I50" s="284">
        <f t="shared" ref="I50:AN50" si="23">I51</f>
        <v>0</v>
      </c>
      <c r="J50" s="284">
        <f t="shared" si="23"/>
        <v>0</v>
      </c>
      <c r="K50" s="284">
        <f t="shared" si="23"/>
        <v>27.582076052048038</v>
      </c>
      <c r="L50" s="284">
        <f t="shared" si="23"/>
        <v>0</v>
      </c>
      <c r="M50" s="284">
        <f t="shared" si="23"/>
        <v>6.2560404785072077</v>
      </c>
      <c r="N50" s="284">
        <f t="shared" si="23"/>
        <v>21.326035573540832</v>
      </c>
      <c r="O50" s="284">
        <f t="shared" si="23"/>
        <v>0</v>
      </c>
      <c r="P50" s="284">
        <f t="shared" si="23"/>
        <v>0</v>
      </c>
      <c r="Q50" s="284">
        <f t="shared" si="23"/>
        <v>0</v>
      </c>
      <c r="R50" s="284">
        <f t="shared" si="23"/>
        <v>0</v>
      </c>
      <c r="S50" s="284">
        <f t="shared" si="23"/>
        <v>0</v>
      </c>
      <c r="T50" s="284">
        <f t="shared" si="23"/>
        <v>0</v>
      </c>
      <c r="U50" s="284">
        <f t="shared" si="23"/>
        <v>0</v>
      </c>
      <c r="V50" s="284">
        <f t="shared" si="23"/>
        <v>0</v>
      </c>
      <c r="W50" s="284">
        <f t="shared" si="23"/>
        <v>0</v>
      </c>
      <c r="X50" s="284">
        <f t="shared" si="23"/>
        <v>0</v>
      </c>
      <c r="Y50" s="284">
        <f t="shared" si="23"/>
        <v>0</v>
      </c>
      <c r="Z50" s="284">
        <f t="shared" si="23"/>
        <v>0</v>
      </c>
      <c r="AA50" s="284">
        <f t="shared" si="23"/>
        <v>0</v>
      </c>
      <c r="AB50" s="284">
        <f t="shared" si="23"/>
        <v>0</v>
      </c>
      <c r="AC50" s="284">
        <f t="shared" si="23"/>
        <v>8.1018356066666684</v>
      </c>
      <c r="AD50" s="284">
        <f t="shared" si="23"/>
        <v>0</v>
      </c>
      <c r="AE50" s="284">
        <f t="shared" si="23"/>
        <v>5.9443916950400002</v>
      </c>
      <c r="AF50" s="284">
        <f t="shared" si="23"/>
        <v>0</v>
      </c>
      <c r="AG50" s="284">
        <f t="shared" si="23"/>
        <v>3.78119951062008</v>
      </c>
      <c r="AH50" s="284">
        <f t="shared" si="23"/>
        <v>0</v>
      </c>
      <c r="AI50" s="284">
        <f t="shared" si="23"/>
        <v>4.6057834832700211</v>
      </c>
      <c r="AJ50" s="284">
        <f t="shared" si="23"/>
        <v>0</v>
      </c>
      <c r="AK50" s="284">
        <f t="shared" si="23"/>
        <v>5.1488657564512703</v>
      </c>
      <c r="AL50" s="284">
        <f t="shared" si="23"/>
        <v>0</v>
      </c>
      <c r="AM50" s="284">
        <f t="shared" si="23"/>
        <v>27.582076052048038</v>
      </c>
      <c r="AN50" s="284">
        <f t="shared" si="23"/>
        <v>0</v>
      </c>
      <c r="AO50" s="195"/>
    </row>
    <row r="51" spans="1:41" s="200" customFormat="1" ht="31.5" outlineLevel="1" x14ac:dyDescent="0.25">
      <c r="A51" s="197" t="s">
        <v>118</v>
      </c>
      <c r="B51" s="11" t="s">
        <v>119</v>
      </c>
      <c r="C51" s="198">
        <f>Ф2!C51</f>
        <v>0</v>
      </c>
      <c r="D51" s="198">
        <f>Ф2!D51</f>
        <v>0</v>
      </c>
      <c r="E51" s="198">
        <f>Ф2!E51</f>
        <v>0</v>
      </c>
      <c r="F51" s="198">
        <f>Ф2!F51</f>
        <v>0</v>
      </c>
      <c r="G51" s="198">
        <f>Ф2!G51</f>
        <v>0</v>
      </c>
      <c r="H51" s="285">
        <f>SUM(H52:H56)</f>
        <v>24.357266666666664</v>
      </c>
      <c r="I51" s="285">
        <f t="shared" ref="I51:AN51" si="24">SUM(I52:I56)</f>
        <v>0</v>
      </c>
      <c r="J51" s="285">
        <f t="shared" si="24"/>
        <v>0</v>
      </c>
      <c r="K51" s="285">
        <f t="shared" si="24"/>
        <v>27.582076052048038</v>
      </c>
      <c r="L51" s="285">
        <f t="shared" si="24"/>
        <v>0</v>
      </c>
      <c r="M51" s="285">
        <f t="shared" si="24"/>
        <v>6.2560404785072077</v>
      </c>
      <c r="N51" s="285">
        <f t="shared" si="24"/>
        <v>21.326035573540832</v>
      </c>
      <c r="O51" s="285">
        <f t="shared" si="24"/>
        <v>0</v>
      </c>
      <c r="P51" s="285">
        <f t="shared" si="24"/>
        <v>0</v>
      </c>
      <c r="Q51" s="285">
        <f t="shared" si="24"/>
        <v>0</v>
      </c>
      <c r="R51" s="285">
        <f t="shared" si="24"/>
        <v>0</v>
      </c>
      <c r="S51" s="285">
        <f t="shared" si="24"/>
        <v>0</v>
      </c>
      <c r="T51" s="285">
        <f t="shared" si="24"/>
        <v>0</v>
      </c>
      <c r="U51" s="285">
        <f t="shared" si="24"/>
        <v>0</v>
      </c>
      <c r="V51" s="285">
        <f t="shared" si="24"/>
        <v>0</v>
      </c>
      <c r="W51" s="285">
        <f t="shared" si="24"/>
        <v>0</v>
      </c>
      <c r="X51" s="285">
        <f t="shared" si="24"/>
        <v>0</v>
      </c>
      <c r="Y51" s="285">
        <f t="shared" si="24"/>
        <v>0</v>
      </c>
      <c r="Z51" s="285">
        <f t="shared" si="24"/>
        <v>0</v>
      </c>
      <c r="AA51" s="285">
        <f t="shared" si="24"/>
        <v>0</v>
      </c>
      <c r="AB51" s="285">
        <f t="shared" si="24"/>
        <v>0</v>
      </c>
      <c r="AC51" s="285">
        <f t="shared" si="24"/>
        <v>8.1018356066666684</v>
      </c>
      <c r="AD51" s="285">
        <f t="shared" si="24"/>
        <v>0</v>
      </c>
      <c r="AE51" s="285">
        <f t="shared" si="24"/>
        <v>5.9443916950400002</v>
      </c>
      <c r="AF51" s="285">
        <f t="shared" si="24"/>
        <v>0</v>
      </c>
      <c r="AG51" s="285">
        <f t="shared" si="24"/>
        <v>3.78119951062008</v>
      </c>
      <c r="AH51" s="285">
        <f t="shared" si="24"/>
        <v>0</v>
      </c>
      <c r="AI51" s="285">
        <f t="shared" si="24"/>
        <v>4.6057834832700211</v>
      </c>
      <c r="AJ51" s="285">
        <f t="shared" si="24"/>
        <v>0</v>
      </c>
      <c r="AK51" s="285">
        <f t="shared" si="24"/>
        <v>5.1488657564512703</v>
      </c>
      <c r="AL51" s="285">
        <f t="shared" si="24"/>
        <v>0</v>
      </c>
      <c r="AM51" s="285">
        <f t="shared" si="24"/>
        <v>27.582076052048038</v>
      </c>
      <c r="AN51" s="285">
        <f t="shared" si="24"/>
        <v>0</v>
      </c>
      <c r="AO51" s="198"/>
    </row>
    <row r="52" spans="1:41" s="200" customFormat="1" outlineLevel="1" x14ac:dyDescent="0.25">
      <c r="A52" s="14" t="s">
        <v>701</v>
      </c>
      <c r="B52" s="421" t="s">
        <v>706</v>
      </c>
      <c r="C52" s="390" t="s">
        <v>728</v>
      </c>
      <c r="D52" s="198" t="str">
        <f>Ф2!D52</f>
        <v>П</v>
      </c>
      <c r="E52" s="391">
        <f>Ф2!E52</f>
        <v>2022</v>
      </c>
      <c r="F52" s="391">
        <f>Ф2!F52</f>
        <v>2022</v>
      </c>
      <c r="G52" s="393"/>
      <c r="H52" s="394">
        <f>Ф2!H52/1.2</f>
        <v>7.7307591666666671</v>
      </c>
      <c r="I52" s="393"/>
      <c r="J52" s="393"/>
      <c r="K52" s="393">
        <f t="shared" ref="K52:K54" si="25">SUM(L52:O52)</f>
        <v>8.1018356066666684</v>
      </c>
      <c r="L52" s="393"/>
      <c r="M52" s="396">
        <f>Ф2!Q52/1.2-Ф3!N52-Ф3!L52</f>
        <v>1.8431796066666672</v>
      </c>
      <c r="N52" s="393">
        <f>5.972*Ф17!E15</f>
        <v>6.2586560000000011</v>
      </c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400">
        <f>IF(F52=2022,K52,0)</f>
        <v>8.1018356066666684</v>
      </c>
      <c r="AD52" s="393"/>
      <c r="AE52" s="400">
        <f>IF(F52=2023,K52,0)</f>
        <v>0</v>
      </c>
      <c r="AF52" s="393"/>
      <c r="AG52" s="400">
        <f t="shared" ref="AG52:AG56" si="26">IF(F52=2024,K52,0)</f>
        <v>0</v>
      </c>
      <c r="AH52" s="393"/>
      <c r="AI52" s="400">
        <f t="shared" ref="AI52:AI56" si="27">IF(F52=2025,K52,0)</f>
        <v>0</v>
      </c>
      <c r="AJ52" s="393"/>
      <c r="AK52" s="400">
        <f t="shared" ref="AK52:AK56" si="28">IF(F52=2026,K52,0)</f>
        <v>0</v>
      </c>
      <c r="AL52" s="393"/>
      <c r="AM52" s="393">
        <f t="shared" ref="AM52:AM56" si="29">AC52+AE52+AG52+AI52+AK52</f>
        <v>8.1018356066666684</v>
      </c>
      <c r="AN52" s="393"/>
      <c r="AO52" s="635" t="s">
        <v>757</v>
      </c>
    </row>
    <row r="53" spans="1:41" s="200" customFormat="1" outlineLevel="1" x14ac:dyDescent="0.25">
      <c r="A53" s="14" t="s">
        <v>702</v>
      </c>
      <c r="B53" s="421" t="s">
        <v>706</v>
      </c>
      <c r="C53" s="390" t="s">
        <v>729</v>
      </c>
      <c r="D53" s="198" t="str">
        <f>Ф2!D53</f>
        <v>П</v>
      </c>
      <c r="E53" s="391">
        <f>Ф2!E53</f>
        <v>2023</v>
      </c>
      <c r="F53" s="391">
        <f>Ф2!F53</f>
        <v>2023</v>
      </c>
      <c r="G53" s="393"/>
      <c r="H53" s="394">
        <f>Ф2!H53/1.2</f>
        <v>5.4175066666666662</v>
      </c>
      <c r="I53" s="393"/>
      <c r="J53" s="393"/>
      <c r="K53" s="393">
        <f t="shared" si="25"/>
        <v>5.9443916950400002</v>
      </c>
      <c r="L53" s="393"/>
      <c r="M53" s="396">
        <f>Ф2!Q53/1.2-Ф3!N53-Ф3!L53</f>
        <v>1.36225063904</v>
      </c>
      <c r="N53" s="393">
        <f>4.176*Ф17!E15*Ф17!F15</f>
        <v>4.5821410560000002</v>
      </c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400">
        <f t="shared" ref="AC53:AC56" si="30">IF(F53=2022,K53,0)</f>
        <v>0</v>
      </c>
      <c r="AD53" s="393"/>
      <c r="AE53" s="400">
        <f t="shared" ref="AE53:AE56" si="31">IF(F53=2023,K53,0)</f>
        <v>5.9443916950400002</v>
      </c>
      <c r="AF53" s="393"/>
      <c r="AG53" s="400">
        <f t="shared" si="26"/>
        <v>0</v>
      </c>
      <c r="AH53" s="393"/>
      <c r="AI53" s="400">
        <f t="shared" si="27"/>
        <v>0</v>
      </c>
      <c r="AJ53" s="393"/>
      <c r="AK53" s="400">
        <f t="shared" si="28"/>
        <v>0</v>
      </c>
      <c r="AL53" s="393"/>
      <c r="AM53" s="393">
        <f t="shared" si="29"/>
        <v>5.9443916950400002</v>
      </c>
      <c r="AN53" s="393"/>
      <c r="AO53" s="637"/>
    </row>
    <row r="54" spans="1:41" s="200" customFormat="1" outlineLevel="1" x14ac:dyDescent="0.25">
      <c r="A54" s="14" t="s">
        <v>703</v>
      </c>
      <c r="B54" s="421" t="s">
        <v>706</v>
      </c>
      <c r="C54" s="390" t="s">
        <v>730</v>
      </c>
      <c r="D54" s="198" t="str">
        <f>Ф2!D54</f>
        <v>П</v>
      </c>
      <c r="E54" s="391">
        <f>Ф2!E54</f>
        <v>2024</v>
      </c>
      <c r="F54" s="391">
        <f>Ф2!F54</f>
        <v>2024</v>
      </c>
      <c r="G54" s="393"/>
      <c r="H54" s="394">
        <f>Ф2!H54/1.2</f>
        <v>3.2913566666666667</v>
      </c>
      <c r="I54" s="393"/>
      <c r="J54" s="393"/>
      <c r="K54" s="393">
        <f t="shared" si="25"/>
        <v>3.78119951062008</v>
      </c>
      <c r="L54" s="393"/>
      <c r="M54" s="396">
        <f>Ф2!Q54/1.2-Ф3!N54-Ф3!L54</f>
        <v>0.84709527089208025</v>
      </c>
      <c r="N54" s="393">
        <f>2.554*Ф17!E15*Ф17!F15*Ф17!G15</f>
        <v>2.9341042397279997</v>
      </c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400">
        <f t="shared" si="30"/>
        <v>0</v>
      </c>
      <c r="AD54" s="393"/>
      <c r="AE54" s="400">
        <f t="shared" si="31"/>
        <v>0</v>
      </c>
      <c r="AF54" s="393"/>
      <c r="AG54" s="400">
        <f t="shared" si="26"/>
        <v>3.78119951062008</v>
      </c>
      <c r="AH54" s="393"/>
      <c r="AI54" s="400">
        <f t="shared" si="27"/>
        <v>0</v>
      </c>
      <c r="AJ54" s="393"/>
      <c r="AK54" s="400">
        <f t="shared" si="28"/>
        <v>0</v>
      </c>
      <c r="AL54" s="393"/>
      <c r="AM54" s="393">
        <f t="shared" si="29"/>
        <v>3.78119951062008</v>
      </c>
      <c r="AN54" s="393"/>
      <c r="AO54" s="637"/>
    </row>
    <row r="55" spans="1:41" s="200" customFormat="1" outlineLevel="1" x14ac:dyDescent="0.25">
      <c r="A55" s="14" t="s">
        <v>704</v>
      </c>
      <c r="B55" s="421" t="s">
        <v>706</v>
      </c>
      <c r="C55" s="390" t="s">
        <v>731</v>
      </c>
      <c r="D55" s="198" t="str">
        <f>Ф2!D55</f>
        <v>П</v>
      </c>
      <c r="E55" s="391">
        <f>Ф2!E55</f>
        <v>2025</v>
      </c>
      <c r="F55" s="391">
        <f>Ф2!F55</f>
        <v>2025</v>
      </c>
      <c r="G55" s="393"/>
      <c r="H55" s="394">
        <f>Ф2!H55/1.2</f>
        <v>3.8291483333333338</v>
      </c>
      <c r="I55" s="393"/>
      <c r="J55" s="393"/>
      <c r="K55" s="393">
        <f>SUM(L55:O55)</f>
        <v>4.6057834832700211</v>
      </c>
      <c r="L55" s="393"/>
      <c r="M55" s="396">
        <f>Ф2!Q55/1.2-Ф3!N55-Ф3!L55</f>
        <v>1.0430250080531738</v>
      </c>
      <c r="N55" s="393">
        <f>2.962*Ф17!E15*Ф17!F15*Ф17!G15*Ф17!H15</f>
        <v>3.5627584752168473</v>
      </c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400">
        <f t="shared" si="30"/>
        <v>0</v>
      </c>
      <c r="AD55" s="393"/>
      <c r="AE55" s="400">
        <f t="shared" si="31"/>
        <v>0</v>
      </c>
      <c r="AF55" s="393"/>
      <c r="AG55" s="400">
        <f t="shared" si="26"/>
        <v>0</v>
      </c>
      <c r="AH55" s="393"/>
      <c r="AI55" s="400">
        <f t="shared" si="27"/>
        <v>4.6057834832700211</v>
      </c>
      <c r="AJ55" s="393"/>
      <c r="AK55" s="400">
        <f t="shared" si="28"/>
        <v>0</v>
      </c>
      <c r="AL55" s="393"/>
      <c r="AM55" s="393">
        <f t="shared" si="29"/>
        <v>4.6057834832700211</v>
      </c>
      <c r="AN55" s="393"/>
      <c r="AO55" s="637"/>
    </row>
    <row r="56" spans="1:41" s="200" customFormat="1" outlineLevel="1" x14ac:dyDescent="0.25">
      <c r="A56" s="14" t="s">
        <v>705</v>
      </c>
      <c r="B56" s="421" t="s">
        <v>706</v>
      </c>
      <c r="C56" s="390" t="s">
        <v>732</v>
      </c>
      <c r="D56" s="198" t="str">
        <f>Ф2!D56</f>
        <v>П</v>
      </c>
      <c r="E56" s="391">
        <f>Ф2!E56</f>
        <v>2026</v>
      </c>
      <c r="F56" s="391">
        <f>Ф2!F56</f>
        <v>2026</v>
      </c>
      <c r="G56" s="393"/>
      <c r="H56" s="394">
        <f>Ф2!H56/1.2</f>
        <v>4.0884958333333339</v>
      </c>
      <c r="I56" s="393"/>
      <c r="J56" s="393"/>
      <c r="K56" s="393">
        <f>SUM(L56:O56)</f>
        <v>5.1488657564512703</v>
      </c>
      <c r="L56" s="393"/>
      <c r="M56" s="396">
        <f>Ф2!Q56/1.2-Ф3!N56-Ф3!L56</f>
        <v>1.160489953855286</v>
      </c>
      <c r="N56" s="393">
        <f>3.167*Ф17!E15*Ф17!F15*Ф17!G15*Ф17!H15*Ф17!I15</f>
        <v>3.9883758025959843</v>
      </c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400">
        <f t="shared" si="30"/>
        <v>0</v>
      </c>
      <c r="AD56" s="393"/>
      <c r="AE56" s="400">
        <f t="shared" si="31"/>
        <v>0</v>
      </c>
      <c r="AF56" s="393"/>
      <c r="AG56" s="400">
        <f t="shared" si="26"/>
        <v>0</v>
      </c>
      <c r="AH56" s="393"/>
      <c r="AI56" s="400">
        <f t="shared" si="27"/>
        <v>0</v>
      </c>
      <c r="AJ56" s="393"/>
      <c r="AK56" s="400">
        <f t="shared" si="28"/>
        <v>5.1488657564512703</v>
      </c>
      <c r="AL56" s="393"/>
      <c r="AM56" s="393">
        <f t="shared" si="29"/>
        <v>5.1488657564512703</v>
      </c>
      <c r="AN56" s="393"/>
      <c r="AO56" s="638"/>
    </row>
    <row r="57" spans="1:41" s="200" customFormat="1" ht="31.5" outlineLevel="1" x14ac:dyDescent="0.25">
      <c r="A57" s="197" t="s">
        <v>120</v>
      </c>
      <c r="B57" s="11" t="s">
        <v>49</v>
      </c>
      <c r="C57" s="198">
        <f>Ф2!C57</f>
        <v>0</v>
      </c>
      <c r="D57" s="198">
        <f>Ф2!D57</f>
        <v>0</v>
      </c>
      <c r="E57" s="198">
        <f>Ф2!E57</f>
        <v>0</v>
      </c>
      <c r="F57" s="198">
        <f>Ф2!F57</f>
        <v>0</v>
      </c>
      <c r="G57" s="198">
        <f>Ф2!G57</f>
        <v>0</v>
      </c>
      <c r="H57" s="285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</row>
    <row r="58" spans="1:41" s="200" customFormat="1" outlineLevel="1" x14ac:dyDescent="0.25">
      <c r="A58" s="197" t="s">
        <v>50</v>
      </c>
      <c r="B58" s="11" t="s">
        <v>51</v>
      </c>
      <c r="C58" s="198">
        <f>Ф2!C58</f>
        <v>0</v>
      </c>
      <c r="D58" s="198">
        <f>Ф2!D58</f>
        <v>0</v>
      </c>
      <c r="E58" s="198">
        <f>Ф2!E58</f>
        <v>0</v>
      </c>
      <c r="F58" s="198">
        <f>Ф2!F58</f>
        <v>0</v>
      </c>
      <c r="G58" s="198">
        <f>Ф2!G58</f>
        <v>0</v>
      </c>
      <c r="H58" s="285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1" s="200" customFormat="1" ht="31.5" outlineLevel="1" x14ac:dyDescent="0.25">
      <c r="A59" s="197" t="s">
        <v>52</v>
      </c>
      <c r="B59" s="11" t="s">
        <v>53</v>
      </c>
      <c r="C59" s="198">
        <f>Ф2!C59</f>
        <v>0</v>
      </c>
      <c r="D59" s="198">
        <f>Ф2!D59</f>
        <v>0</v>
      </c>
      <c r="E59" s="198">
        <f>Ф2!E59</f>
        <v>0</v>
      </c>
      <c r="F59" s="198">
        <f>Ф2!F59</f>
        <v>0</v>
      </c>
      <c r="G59" s="198">
        <f>Ф2!G59</f>
        <v>0</v>
      </c>
      <c r="H59" s="285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</row>
    <row r="60" spans="1:41" s="200" customFormat="1" ht="31.5" x14ac:dyDescent="0.25">
      <c r="A60" s="197" t="s">
        <v>54</v>
      </c>
      <c r="B60" s="11" t="s">
        <v>55</v>
      </c>
      <c r="C60" s="198">
        <f>Ф2!C60</f>
        <v>0</v>
      </c>
      <c r="D60" s="198">
        <f>Ф2!D60</f>
        <v>0</v>
      </c>
      <c r="E60" s="198">
        <f>Ф2!E60</f>
        <v>0</v>
      </c>
      <c r="F60" s="198">
        <f>Ф2!F60</f>
        <v>0</v>
      </c>
      <c r="G60" s="198">
        <f>Ф2!G60</f>
        <v>0</v>
      </c>
      <c r="H60" s="285">
        <f t="shared" ref="H60:AN60" si="32">H61</f>
        <v>0</v>
      </c>
      <c r="I60" s="198">
        <f t="shared" si="32"/>
        <v>0</v>
      </c>
      <c r="J60" s="198">
        <f t="shared" si="32"/>
        <v>0</v>
      </c>
      <c r="K60" s="198">
        <f t="shared" si="32"/>
        <v>0</v>
      </c>
      <c r="L60" s="198">
        <f t="shared" si="32"/>
        <v>0</v>
      </c>
      <c r="M60" s="198">
        <f t="shared" si="32"/>
        <v>0</v>
      </c>
      <c r="N60" s="198">
        <f t="shared" si="32"/>
        <v>0</v>
      </c>
      <c r="O60" s="198">
        <f t="shared" si="32"/>
        <v>0</v>
      </c>
      <c r="P60" s="198">
        <f t="shared" si="32"/>
        <v>0</v>
      </c>
      <c r="Q60" s="198">
        <f t="shared" si="32"/>
        <v>0</v>
      </c>
      <c r="R60" s="198">
        <f t="shared" si="32"/>
        <v>0</v>
      </c>
      <c r="S60" s="198">
        <f t="shared" si="32"/>
        <v>0</v>
      </c>
      <c r="T60" s="198">
        <f t="shared" si="32"/>
        <v>0</v>
      </c>
      <c r="U60" s="198">
        <f t="shared" si="32"/>
        <v>0</v>
      </c>
      <c r="V60" s="198">
        <f t="shared" si="32"/>
        <v>0</v>
      </c>
      <c r="W60" s="198">
        <f t="shared" si="32"/>
        <v>0</v>
      </c>
      <c r="X60" s="198">
        <f t="shared" si="32"/>
        <v>0</v>
      </c>
      <c r="Y60" s="198">
        <f t="shared" si="32"/>
        <v>0</v>
      </c>
      <c r="Z60" s="198">
        <f t="shared" si="32"/>
        <v>0</v>
      </c>
      <c r="AA60" s="198">
        <f t="shared" si="32"/>
        <v>0</v>
      </c>
      <c r="AB60" s="198">
        <f t="shared" si="32"/>
        <v>0</v>
      </c>
      <c r="AC60" s="198">
        <f t="shared" si="32"/>
        <v>0</v>
      </c>
      <c r="AD60" s="198">
        <f t="shared" si="32"/>
        <v>0</v>
      </c>
      <c r="AE60" s="198">
        <f t="shared" si="32"/>
        <v>0</v>
      </c>
      <c r="AF60" s="198">
        <f t="shared" si="32"/>
        <v>0</v>
      </c>
      <c r="AG60" s="198">
        <f t="shared" si="32"/>
        <v>0</v>
      </c>
      <c r="AH60" s="198">
        <f t="shared" si="32"/>
        <v>0</v>
      </c>
      <c r="AI60" s="198">
        <f t="shared" si="32"/>
        <v>0</v>
      </c>
      <c r="AJ60" s="198">
        <f t="shared" si="32"/>
        <v>0</v>
      </c>
      <c r="AK60" s="198">
        <f t="shared" si="32"/>
        <v>0</v>
      </c>
      <c r="AL60" s="198">
        <f t="shared" si="32"/>
        <v>0</v>
      </c>
      <c r="AM60" s="198">
        <f t="shared" si="32"/>
        <v>0</v>
      </c>
      <c r="AN60" s="198">
        <f t="shared" si="32"/>
        <v>0</v>
      </c>
      <c r="AO60" s="198"/>
    </row>
    <row r="61" spans="1:41" s="362" customFormat="1" x14ac:dyDescent="0.25">
      <c r="A61" s="197"/>
      <c r="B61" s="11"/>
      <c r="C61" s="351"/>
      <c r="D61" s="351"/>
      <c r="E61" s="350"/>
      <c r="F61" s="350"/>
      <c r="G61" s="350"/>
      <c r="H61" s="360"/>
      <c r="I61" s="351"/>
      <c r="J61" s="351"/>
      <c r="K61" s="360"/>
      <c r="L61" s="360"/>
      <c r="M61" s="360"/>
      <c r="N61" s="360"/>
      <c r="O61" s="360"/>
      <c r="P61" s="364"/>
      <c r="Q61" s="351"/>
      <c r="R61" s="351"/>
      <c r="S61" s="351"/>
      <c r="T61" s="351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51"/>
      <c r="AG61" s="360"/>
      <c r="AH61" s="360"/>
      <c r="AI61" s="360"/>
      <c r="AJ61" s="360"/>
      <c r="AK61" s="360"/>
      <c r="AL61" s="360"/>
      <c r="AM61" s="360"/>
      <c r="AN61" s="351"/>
      <c r="AO61" s="351"/>
    </row>
    <row r="62" spans="1:41" s="134" customFormat="1" ht="31.5" hidden="1" outlineLevel="1" x14ac:dyDescent="0.25">
      <c r="A62" s="14" t="s">
        <v>56</v>
      </c>
      <c r="B62" s="11" t="s">
        <v>57</v>
      </c>
      <c r="C62" s="127">
        <f>Ф2!C62</f>
        <v>0</v>
      </c>
      <c r="D62" s="127">
        <f>Ф2!D62</f>
        <v>0</v>
      </c>
      <c r="E62" s="125">
        <f>Ф2!E62</f>
        <v>0</v>
      </c>
      <c r="F62" s="125"/>
      <c r="G62" s="127"/>
      <c r="H62" s="286"/>
      <c r="I62" s="124"/>
      <c r="J62" s="126"/>
      <c r="K62" s="127"/>
      <c r="L62" s="127"/>
      <c r="M62" s="180"/>
      <c r="N62" s="127"/>
      <c r="O62" s="127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</row>
    <row r="63" spans="1:41" ht="31.5" hidden="1" outlineLevel="1" x14ac:dyDescent="0.25">
      <c r="A63" s="60" t="s">
        <v>58</v>
      </c>
      <c r="B63" s="61" t="s">
        <v>59</v>
      </c>
      <c r="C63" s="56">
        <f>Ф2!C63</f>
        <v>0</v>
      </c>
      <c r="D63" s="56">
        <f>Ф2!D63</f>
        <v>0</v>
      </c>
      <c r="E63" s="47">
        <f>Ф2!E63</f>
        <v>0</v>
      </c>
      <c r="F63" s="47"/>
      <c r="G63" s="17"/>
      <c r="H63" s="287"/>
      <c r="I63" s="56"/>
      <c r="J63" s="63"/>
      <c r="K63" s="56"/>
      <c r="L63" s="56"/>
      <c r="M63" s="63"/>
      <c r="N63" s="56"/>
      <c r="O63" s="56"/>
      <c r="P63" s="290"/>
      <c r="Q63" s="290"/>
      <c r="R63" s="290"/>
      <c r="S63" s="290"/>
      <c r="T63" s="291"/>
    </row>
    <row r="64" spans="1:41" ht="31.5" hidden="1" outlineLevel="1" x14ac:dyDescent="0.25">
      <c r="A64" s="14" t="s">
        <v>60</v>
      </c>
      <c r="B64" s="16" t="s">
        <v>61</v>
      </c>
      <c r="C64" s="17">
        <f>Ф2!C64</f>
        <v>0</v>
      </c>
      <c r="D64" s="17">
        <f>Ф2!D64</f>
        <v>0</v>
      </c>
      <c r="E64" s="47">
        <f>Ф2!E64</f>
        <v>0</v>
      </c>
      <c r="F64" s="47"/>
      <c r="G64" s="17"/>
      <c r="H64" s="288"/>
      <c r="I64" s="17"/>
      <c r="J64" s="52"/>
      <c r="K64" s="17"/>
      <c r="L64" s="17"/>
      <c r="M64" s="52"/>
      <c r="N64" s="17"/>
      <c r="O64" s="17"/>
      <c r="P64" s="292"/>
      <c r="Q64" s="292"/>
      <c r="R64" s="292"/>
      <c r="S64" s="292"/>
      <c r="T64" s="291"/>
    </row>
    <row r="65" spans="1:41" s="25" customFormat="1" ht="31.5" hidden="1" outlineLevel="1" x14ac:dyDescent="0.25">
      <c r="A65" s="22" t="s">
        <v>62</v>
      </c>
      <c r="B65" s="23" t="s">
        <v>63</v>
      </c>
      <c r="C65" s="24">
        <f>Ф2!C65</f>
        <v>0</v>
      </c>
      <c r="D65" s="24">
        <f>Ф2!D65</f>
        <v>0</v>
      </c>
      <c r="E65" s="48">
        <f>Ф2!E65</f>
        <v>0</v>
      </c>
      <c r="F65" s="48"/>
      <c r="G65" s="24"/>
      <c r="H65" s="289"/>
      <c r="I65" s="24"/>
      <c r="J65" s="53"/>
      <c r="K65" s="24"/>
      <c r="L65" s="24"/>
      <c r="M65" s="53"/>
      <c r="N65" s="24"/>
      <c r="O65" s="24"/>
      <c r="P65" s="293"/>
      <c r="Q65" s="293"/>
      <c r="R65" s="293"/>
      <c r="S65" s="293"/>
      <c r="T65" s="294"/>
    </row>
    <row r="66" spans="1:41" hidden="1" outlineLevel="1" x14ac:dyDescent="0.25">
      <c r="A66" s="14" t="s">
        <v>64</v>
      </c>
      <c r="B66" s="16" t="s">
        <v>65</v>
      </c>
      <c r="C66" s="17">
        <f>Ф2!C66</f>
        <v>0</v>
      </c>
      <c r="D66" s="17">
        <f>Ф2!D66</f>
        <v>0</v>
      </c>
      <c r="E66" s="47">
        <f>Ф2!E66</f>
        <v>0</v>
      </c>
      <c r="F66" s="47"/>
      <c r="G66" s="17"/>
      <c r="H66" s="288"/>
      <c r="I66" s="17"/>
      <c r="J66" s="52"/>
      <c r="K66" s="17"/>
      <c r="L66" s="17"/>
      <c r="M66" s="52"/>
      <c r="N66" s="17"/>
      <c r="O66" s="17"/>
      <c r="P66" s="292"/>
      <c r="Q66" s="292"/>
      <c r="R66" s="292"/>
      <c r="S66" s="292"/>
      <c r="T66" s="291"/>
    </row>
    <row r="67" spans="1:41" ht="31.5" hidden="1" outlineLevel="1" x14ac:dyDescent="0.25">
      <c r="A67" s="14" t="s">
        <v>66</v>
      </c>
      <c r="B67" s="16" t="s">
        <v>67</v>
      </c>
      <c r="C67" s="17">
        <f>Ф2!C67</f>
        <v>0</v>
      </c>
      <c r="D67" s="17">
        <f>Ф2!D67</f>
        <v>0</v>
      </c>
      <c r="E67" s="47">
        <f>Ф2!E67</f>
        <v>0</v>
      </c>
      <c r="F67" s="47"/>
      <c r="G67" s="17"/>
      <c r="H67" s="288"/>
      <c r="I67" s="17"/>
      <c r="J67" s="52"/>
      <c r="K67" s="17"/>
      <c r="L67" s="17"/>
      <c r="M67" s="52"/>
      <c r="N67" s="17"/>
      <c r="O67" s="17"/>
      <c r="P67" s="292"/>
      <c r="Q67" s="292"/>
      <c r="R67" s="292"/>
      <c r="S67" s="292"/>
      <c r="T67" s="291"/>
    </row>
    <row r="68" spans="1:41" s="28" customFormat="1" ht="47.25" hidden="1" outlineLevel="1" collapsed="1" x14ac:dyDescent="0.25">
      <c r="A68" s="20" t="s">
        <v>68</v>
      </c>
      <c r="B68" s="32" t="s">
        <v>69</v>
      </c>
      <c r="C68" s="27">
        <f>Ф2!C68</f>
        <v>0</v>
      </c>
      <c r="D68" s="27">
        <f>Ф2!D68</f>
        <v>0</v>
      </c>
      <c r="E68" s="49">
        <f>Ф2!E68</f>
        <v>0</v>
      </c>
      <c r="F68" s="49"/>
      <c r="G68" s="27"/>
      <c r="H68" s="266"/>
      <c r="I68" s="27"/>
      <c r="J68" s="54"/>
      <c r="K68" s="27"/>
      <c r="L68" s="27"/>
      <c r="M68" s="54"/>
      <c r="N68" s="27"/>
      <c r="O68" s="27"/>
      <c r="P68" s="267"/>
      <c r="Q68" s="267"/>
      <c r="R68" s="267"/>
      <c r="S68" s="267"/>
      <c r="T68" s="295"/>
    </row>
    <row r="69" spans="1:41" s="25" customFormat="1" ht="31.5" hidden="1" outlineLevel="1" x14ac:dyDescent="0.25">
      <c r="A69" s="22" t="s">
        <v>70</v>
      </c>
      <c r="B69" s="23" t="s">
        <v>71</v>
      </c>
      <c r="C69" s="24">
        <f>Ф2!C69</f>
        <v>0</v>
      </c>
      <c r="D69" s="24">
        <f>Ф2!D69</f>
        <v>0</v>
      </c>
      <c r="E69" s="48">
        <f>Ф2!E69</f>
        <v>0</v>
      </c>
      <c r="F69" s="48"/>
      <c r="G69" s="24"/>
      <c r="H69" s="289"/>
      <c r="I69" s="24"/>
      <c r="J69" s="53"/>
      <c r="K69" s="24"/>
      <c r="L69" s="24"/>
      <c r="M69" s="53"/>
      <c r="N69" s="24"/>
      <c r="O69" s="24"/>
      <c r="P69" s="293"/>
      <c r="Q69" s="293"/>
      <c r="R69" s="293"/>
      <c r="S69" s="293"/>
      <c r="T69" s="294"/>
    </row>
    <row r="70" spans="1:41" s="25" customFormat="1" ht="31.5" hidden="1" outlineLevel="1" x14ac:dyDescent="0.25">
      <c r="A70" s="22" t="s">
        <v>72</v>
      </c>
      <c r="B70" s="23" t="s">
        <v>73</v>
      </c>
      <c r="C70" s="24">
        <f>Ф2!C70</f>
        <v>0</v>
      </c>
      <c r="D70" s="24">
        <f>Ф2!D70</f>
        <v>0</v>
      </c>
      <c r="E70" s="48">
        <f>Ф2!E70</f>
        <v>0</v>
      </c>
      <c r="F70" s="48"/>
      <c r="G70" s="24"/>
      <c r="H70" s="289"/>
      <c r="I70" s="24"/>
      <c r="J70" s="53"/>
      <c r="K70" s="24"/>
      <c r="L70" s="24"/>
      <c r="M70" s="53"/>
      <c r="N70" s="24"/>
      <c r="O70" s="24"/>
      <c r="P70" s="293"/>
      <c r="Q70" s="293"/>
      <c r="R70" s="293"/>
      <c r="S70" s="293"/>
      <c r="T70" s="294"/>
    </row>
    <row r="71" spans="1:41" s="273" customFormat="1" collapsed="1" x14ac:dyDescent="0.25">
      <c r="A71" s="20" t="s">
        <v>528</v>
      </c>
      <c r="B71" s="265" t="s">
        <v>529</v>
      </c>
      <c r="C71" s="270">
        <f>Ф2!C71</f>
        <v>0</v>
      </c>
      <c r="D71" s="270">
        <f>Ф2!D71</f>
        <v>0</v>
      </c>
      <c r="E71" s="270">
        <f>Ф2!E71</f>
        <v>0</v>
      </c>
      <c r="F71" s="270"/>
      <c r="G71" s="268"/>
      <c r="H71" s="270">
        <f>SUM(H72:H73)</f>
        <v>9.7484027777777804</v>
      </c>
      <c r="I71" s="270">
        <f t="shared" ref="I71:AN71" si="33">SUM(I72:I73)</f>
        <v>0</v>
      </c>
      <c r="J71" s="270">
        <f t="shared" si="33"/>
        <v>0</v>
      </c>
      <c r="K71" s="270">
        <f t="shared" si="33"/>
        <v>11.428931808204101</v>
      </c>
      <c r="L71" s="270">
        <f t="shared" si="33"/>
        <v>0</v>
      </c>
      <c r="M71" s="270">
        <f t="shared" si="33"/>
        <v>0</v>
      </c>
      <c r="N71" s="270">
        <f t="shared" si="33"/>
        <v>11.428931808204101</v>
      </c>
      <c r="O71" s="270">
        <f t="shared" si="33"/>
        <v>0</v>
      </c>
      <c r="P71" s="270">
        <f t="shared" si="33"/>
        <v>0</v>
      </c>
      <c r="Q71" s="270">
        <f t="shared" si="33"/>
        <v>0</v>
      </c>
      <c r="R71" s="270">
        <f t="shared" si="33"/>
        <v>0</v>
      </c>
      <c r="S71" s="270">
        <f t="shared" si="33"/>
        <v>0</v>
      </c>
      <c r="T71" s="270">
        <f t="shared" si="33"/>
        <v>0</v>
      </c>
      <c r="U71" s="270">
        <f t="shared" si="33"/>
        <v>0</v>
      </c>
      <c r="V71" s="270">
        <f t="shared" si="33"/>
        <v>0</v>
      </c>
      <c r="W71" s="270">
        <f t="shared" si="33"/>
        <v>0</v>
      </c>
      <c r="X71" s="270">
        <f t="shared" si="33"/>
        <v>0</v>
      </c>
      <c r="Y71" s="270">
        <f t="shared" si="33"/>
        <v>0</v>
      </c>
      <c r="Z71" s="270">
        <f t="shared" si="33"/>
        <v>0</v>
      </c>
      <c r="AA71" s="270">
        <f t="shared" si="33"/>
        <v>0</v>
      </c>
      <c r="AB71" s="270">
        <f t="shared" si="33"/>
        <v>0</v>
      </c>
      <c r="AC71" s="270">
        <f t="shared" si="33"/>
        <v>0</v>
      </c>
      <c r="AD71" s="270">
        <f t="shared" si="33"/>
        <v>0</v>
      </c>
      <c r="AE71" s="270">
        <f t="shared" si="33"/>
        <v>0</v>
      </c>
      <c r="AF71" s="270">
        <f t="shared" si="33"/>
        <v>0</v>
      </c>
      <c r="AG71" s="270">
        <f t="shared" si="33"/>
        <v>6.3119269646350009</v>
      </c>
      <c r="AH71" s="270">
        <f t="shared" si="33"/>
        <v>0</v>
      </c>
      <c r="AI71" s="270">
        <f t="shared" si="33"/>
        <v>5.1170048435690996</v>
      </c>
      <c r="AJ71" s="270">
        <f t="shared" si="33"/>
        <v>0</v>
      </c>
      <c r="AK71" s="270">
        <f t="shared" si="33"/>
        <v>0</v>
      </c>
      <c r="AL71" s="270">
        <f t="shared" si="33"/>
        <v>0</v>
      </c>
      <c r="AM71" s="270">
        <f t="shared" si="33"/>
        <v>11.428931808204101</v>
      </c>
      <c r="AN71" s="270">
        <f t="shared" si="33"/>
        <v>0</v>
      </c>
      <c r="AO71" s="268"/>
    </row>
    <row r="72" spans="1:41" s="345" customFormat="1" ht="31.5" customHeight="1" x14ac:dyDescent="0.25">
      <c r="A72" s="341" t="s">
        <v>530</v>
      </c>
      <c r="B72" s="419" t="s">
        <v>708</v>
      </c>
      <c r="C72" s="390" t="s">
        <v>733</v>
      </c>
      <c r="D72" s="448">
        <f>Ф2!D72</f>
        <v>0</v>
      </c>
      <c r="E72" s="391">
        <f>Ф2!E72</f>
        <v>2024</v>
      </c>
      <c r="F72" s="391">
        <f>Ф2!F72</f>
        <v>2024</v>
      </c>
      <c r="G72" s="391">
        <f>Ф2!G72</f>
        <v>0</v>
      </c>
      <c r="H72" s="394">
        <f>Ф2!H72/1.2</f>
        <v>5.4942361111111122</v>
      </c>
      <c r="I72" s="393">
        <f>Ф2!K72/1.2</f>
        <v>0</v>
      </c>
      <c r="J72" s="449"/>
      <c r="K72" s="393">
        <f>SUM(L72:O72)</f>
        <v>6.3119269646350009</v>
      </c>
      <c r="L72" s="393"/>
      <c r="M72" s="393"/>
      <c r="N72" s="393">
        <f>Ф2!Q72/1.2</f>
        <v>6.3119269646350009</v>
      </c>
      <c r="O72" s="393"/>
      <c r="P72" s="393">
        <f>SUM(Q72:T72)</f>
        <v>0</v>
      </c>
      <c r="Q72" s="393"/>
      <c r="R72" s="393"/>
      <c r="S72" s="393">
        <f>Ф2!U72/1.2</f>
        <v>0</v>
      </c>
      <c r="T72" s="393"/>
      <c r="U72" s="393"/>
      <c r="V72" s="393"/>
      <c r="W72" s="393"/>
      <c r="X72" s="393"/>
      <c r="Y72" s="393"/>
      <c r="Z72" s="393"/>
      <c r="AA72" s="393"/>
      <c r="AB72" s="393"/>
      <c r="AC72" s="400">
        <f>IF(F72=2022,K72,0)</f>
        <v>0</v>
      </c>
      <c r="AD72" s="393"/>
      <c r="AE72" s="400">
        <f t="shared" ref="AE72:AE73" si="34">IF(F72=2023,K72,0)</f>
        <v>0</v>
      </c>
      <c r="AF72" s="393">
        <f>P72</f>
        <v>0</v>
      </c>
      <c r="AG72" s="400">
        <f t="shared" ref="AG72:AG73" si="35">IF(F72=2024,K72,0)</f>
        <v>6.3119269646350009</v>
      </c>
      <c r="AH72" s="394"/>
      <c r="AI72" s="400">
        <f t="shared" ref="AI72:AI73" si="36">IF(F72=2025,K72,0)</f>
        <v>0</v>
      </c>
      <c r="AJ72" s="394"/>
      <c r="AK72" s="400">
        <f t="shared" ref="AK72:AK73" si="37">IF(F72=2026,K72,0)</f>
        <v>0</v>
      </c>
      <c r="AL72" s="394"/>
      <c r="AM72" s="393">
        <f t="shared" ref="AM72:AM73" si="38">AC72+AE72+AG72+AI72+AK72</f>
        <v>6.3119269646350009</v>
      </c>
      <c r="AN72" s="393">
        <f>AD72+AF72+AL72</f>
        <v>0</v>
      </c>
      <c r="AO72" s="453" t="s">
        <v>542</v>
      </c>
    </row>
    <row r="73" spans="1:41" s="345" customFormat="1" ht="31.5" customHeight="1" x14ac:dyDescent="0.25">
      <c r="A73" s="341" t="s">
        <v>707</v>
      </c>
      <c r="B73" s="419" t="s">
        <v>709</v>
      </c>
      <c r="C73" s="390" t="s">
        <v>734</v>
      </c>
      <c r="D73" s="448">
        <f>Ф2!D73</f>
        <v>0</v>
      </c>
      <c r="E73" s="391">
        <f>Ф2!E73</f>
        <v>2025</v>
      </c>
      <c r="F73" s="391">
        <f>Ф2!F73</f>
        <v>2025</v>
      </c>
      <c r="G73" s="391">
        <f>Ф2!G73</f>
        <v>0</v>
      </c>
      <c r="H73" s="394">
        <f>Ф2!H73/1.2</f>
        <v>4.2541666666666673</v>
      </c>
      <c r="I73" s="393">
        <f>Ф2!K73/1.2</f>
        <v>0</v>
      </c>
      <c r="J73" s="449"/>
      <c r="K73" s="393">
        <f>SUM(L73:O73)</f>
        <v>5.1170048435690996</v>
      </c>
      <c r="L73" s="393"/>
      <c r="M73" s="393"/>
      <c r="N73" s="393">
        <f>Ф2!Q73/1.2</f>
        <v>5.1170048435690996</v>
      </c>
      <c r="O73" s="393"/>
      <c r="P73" s="393">
        <f>SUM(Q73:T73)</f>
        <v>0</v>
      </c>
      <c r="Q73" s="393"/>
      <c r="R73" s="393"/>
      <c r="S73" s="393">
        <f>Ф2!U73/1.2</f>
        <v>0</v>
      </c>
      <c r="T73" s="393"/>
      <c r="U73" s="393"/>
      <c r="V73" s="393"/>
      <c r="W73" s="393"/>
      <c r="X73" s="393"/>
      <c r="Y73" s="393"/>
      <c r="Z73" s="393"/>
      <c r="AA73" s="393"/>
      <c r="AB73" s="393"/>
      <c r="AC73" s="400">
        <f t="shared" ref="AC73" si="39">IF(F73=2022,K73,0)</f>
        <v>0</v>
      </c>
      <c r="AD73" s="393"/>
      <c r="AE73" s="400">
        <f t="shared" si="34"/>
        <v>0</v>
      </c>
      <c r="AF73" s="393">
        <f>P73</f>
        <v>0</v>
      </c>
      <c r="AG73" s="400">
        <f t="shared" si="35"/>
        <v>0</v>
      </c>
      <c r="AH73" s="394"/>
      <c r="AI73" s="400">
        <f t="shared" si="36"/>
        <v>5.1170048435690996</v>
      </c>
      <c r="AJ73" s="394"/>
      <c r="AK73" s="400">
        <f t="shared" si="37"/>
        <v>0</v>
      </c>
      <c r="AL73" s="394"/>
      <c r="AM73" s="393">
        <f t="shared" si="38"/>
        <v>5.1170048435690996</v>
      </c>
      <c r="AN73" s="393">
        <f>AD73+AF73+AL73</f>
        <v>0</v>
      </c>
      <c r="AO73" s="453" t="s">
        <v>542</v>
      </c>
    </row>
    <row r="76" spans="1:41" ht="18.75" x14ac:dyDescent="0.25">
      <c r="B76" s="278" t="s">
        <v>77</v>
      </c>
      <c r="C76" s="279"/>
      <c r="D76" s="279"/>
      <c r="E76" s="279" t="s">
        <v>668</v>
      </c>
    </row>
    <row r="77" spans="1:41" ht="18.75" x14ac:dyDescent="0.25">
      <c r="B77" s="278"/>
      <c r="C77" s="279"/>
      <c r="D77" s="279"/>
      <c r="E77" s="279"/>
    </row>
    <row r="78" spans="1:41" ht="18.75" x14ac:dyDescent="0.25">
      <c r="B78" s="278"/>
      <c r="C78" s="279"/>
      <c r="D78" s="279"/>
      <c r="E78" s="279"/>
    </row>
    <row r="81" spans="1:37" s="41" customFormat="1" x14ac:dyDescent="0.25">
      <c r="A81" s="613" t="s">
        <v>207</v>
      </c>
      <c r="B81" s="613"/>
      <c r="C81" s="613"/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136"/>
      <c r="R81" s="155"/>
      <c r="S81" s="155"/>
      <c r="T81" s="155"/>
      <c r="U81" s="155"/>
      <c r="Y81" s="138"/>
      <c r="Z81" s="138"/>
      <c r="AA81" s="138"/>
      <c r="AB81" s="138"/>
      <c r="AC81" s="138"/>
      <c r="AD81" s="138"/>
      <c r="AE81" s="138"/>
      <c r="AF81" s="138"/>
      <c r="AG81" s="138"/>
      <c r="AI81" s="138"/>
      <c r="AK81" s="138"/>
    </row>
    <row r="82" spans="1:37" s="41" customFormat="1" x14ac:dyDescent="0.25">
      <c r="A82" s="614" t="s">
        <v>208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139"/>
      <c r="R82" s="156"/>
      <c r="S82" s="156"/>
      <c r="T82" s="156"/>
      <c r="U82" s="156"/>
      <c r="Y82" s="138"/>
      <c r="Z82" s="138"/>
      <c r="AA82" s="138"/>
      <c r="AB82" s="138"/>
      <c r="AC82" s="138"/>
      <c r="AD82" s="138"/>
      <c r="AE82" s="138"/>
      <c r="AF82" s="138"/>
      <c r="AG82" s="138"/>
      <c r="AI82" s="138"/>
      <c r="AK82" s="138"/>
    </row>
    <row r="83" spans="1:37" s="41" customFormat="1" x14ac:dyDescent="0.25">
      <c r="A83" s="614" t="s">
        <v>209</v>
      </c>
      <c r="B83" s="614"/>
      <c r="C83" s="614"/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139"/>
      <c r="R83" s="156"/>
      <c r="S83" s="156"/>
      <c r="T83" s="156"/>
      <c r="U83" s="156"/>
      <c r="Y83" s="138"/>
      <c r="Z83" s="138"/>
      <c r="AA83" s="138"/>
      <c r="AB83" s="138"/>
      <c r="AC83" s="138"/>
      <c r="AD83" s="138"/>
      <c r="AE83" s="138"/>
      <c r="AF83" s="138"/>
      <c r="AG83" s="138"/>
      <c r="AI83" s="138"/>
      <c r="AK83" s="138"/>
    </row>
    <row r="84" spans="1:37" s="41" customFormat="1" x14ac:dyDescent="0.25">
      <c r="A84" s="614" t="s">
        <v>210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156"/>
      <c r="S84" s="156"/>
      <c r="T84" s="156"/>
      <c r="U84" s="156"/>
      <c r="Y84" s="138"/>
      <c r="Z84" s="138"/>
      <c r="AA84" s="138"/>
      <c r="AB84" s="138"/>
      <c r="AC84" s="138"/>
      <c r="AD84" s="138"/>
      <c r="AE84" s="138"/>
      <c r="AF84" s="138"/>
      <c r="AG84" s="138"/>
      <c r="AI84" s="138"/>
      <c r="AK84" s="138"/>
    </row>
    <row r="89" spans="1:37" x14ac:dyDescent="0.25">
      <c r="B89" s="454" t="s">
        <v>758</v>
      </c>
      <c r="C89" s="454" t="str">
        <f>IF(H15=Ф2!H15/1.2,"ОК","ОШИБКА")</f>
        <v>ОК</v>
      </c>
    </row>
    <row r="90" spans="1:37" x14ac:dyDescent="0.25">
      <c r="B90" s="454" t="s">
        <v>758</v>
      </c>
      <c r="C90" s="454" t="str">
        <f>IF(K15=Ф2!T15/1.2,"ОК","ОШИБКА")</f>
        <v>ОК</v>
      </c>
    </row>
  </sheetData>
  <mergeCells count="38">
    <mergeCell ref="A84:P84"/>
    <mergeCell ref="A1:AO1"/>
    <mergeCell ref="A3:AO3"/>
    <mergeCell ref="A4:AO4"/>
    <mergeCell ref="A6:AO6"/>
    <mergeCell ref="A8:AO8"/>
    <mergeCell ref="A9:AO9"/>
    <mergeCell ref="AO11:AO13"/>
    <mergeCell ref="A11:A13"/>
    <mergeCell ref="B11:B13"/>
    <mergeCell ref="C11:C13"/>
    <mergeCell ref="D11:D13"/>
    <mergeCell ref="E11:E13"/>
    <mergeCell ref="AC12:AD12"/>
    <mergeCell ref="A81:P81"/>
    <mergeCell ref="A82:P82"/>
    <mergeCell ref="A83:P83"/>
    <mergeCell ref="AK12:AL12"/>
    <mergeCell ref="AO46:AO47"/>
    <mergeCell ref="AM12:AM13"/>
    <mergeCell ref="AI12:AJ12"/>
    <mergeCell ref="AG12:AH12"/>
    <mergeCell ref="AO52:AO56"/>
    <mergeCell ref="A10:AN10"/>
    <mergeCell ref="H11:I12"/>
    <mergeCell ref="J11:J13"/>
    <mergeCell ref="K11:T11"/>
    <mergeCell ref="U11:Z11"/>
    <mergeCell ref="AA11:AB12"/>
    <mergeCell ref="AC11:AN11"/>
    <mergeCell ref="K12:O12"/>
    <mergeCell ref="P12:T12"/>
    <mergeCell ref="U12:V12"/>
    <mergeCell ref="F11:G12"/>
    <mergeCell ref="AN12:AN13"/>
    <mergeCell ref="W12:X12"/>
    <mergeCell ref="Y12:Z12"/>
    <mergeCell ref="AE12:AF12"/>
  </mergeCells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Z90"/>
  <sheetViews>
    <sheetView topLeftCell="B10" zoomScale="70" zoomScaleNormal="70" workbookViewId="0">
      <selection activeCell="DB54" sqref="DB54:DB58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50" bestFit="1" customWidth="1"/>
    <col min="6" max="6" width="17.42578125" style="50" hidden="1" customWidth="1" outlineLevel="1"/>
    <col min="7" max="7" width="7.28515625" hidden="1" customWidth="1" outlineLevel="1"/>
    <col min="8" max="8" width="7.7109375" hidden="1" customWidth="1" outlineLevel="1"/>
    <col min="9" max="9" width="6.28515625" hidden="1" customWidth="1" outlineLevel="1"/>
    <col min="10" max="10" width="6.28515625" style="55" hidden="1" customWidth="1" outlineLevel="1"/>
    <col min="11" max="12" width="6.28515625" hidden="1" customWidth="1" outlineLevel="1"/>
    <col min="13" max="13" width="16.85546875" style="55" hidden="1" customWidth="1" outlineLevel="1"/>
    <col min="14" max="14" width="7.28515625" hidden="1" customWidth="1" outlineLevel="1"/>
    <col min="15" max="19" width="7.42578125" hidden="1" customWidth="1" outlineLevel="1"/>
    <col min="20" max="20" width="18.42578125" customWidth="1" collapsed="1"/>
    <col min="21" max="21" width="10.140625" customWidth="1"/>
    <col min="22" max="25" width="8.42578125" customWidth="1"/>
    <col min="26" max="26" width="7.85546875" customWidth="1"/>
    <col min="27" max="27" width="7.140625" customWidth="1"/>
    <col min="28" max="28" width="17.28515625" customWidth="1"/>
    <col min="29" max="29" width="10.140625" customWidth="1"/>
    <col min="30" max="35" width="6.7109375" customWidth="1"/>
    <col min="36" max="36" width="17.28515625" customWidth="1"/>
    <col min="37" max="37" width="9.28515625" customWidth="1"/>
    <col min="38" max="38" width="8.42578125" bestFit="1" customWidth="1"/>
    <col min="39" max="39" width="6.28515625" bestFit="1" customWidth="1"/>
    <col min="40" max="41" width="8.5703125" bestFit="1" customWidth="1"/>
    <col min="42" max="42" width="6.28515625" customWidth="1"/>
    <col min="43" max="43" width="6.28515625" bestFit="1" customWidth="1"/>
    <col min="44" max="44" width="19.28515625" customWidth="1"/>
    <col min="45" max="45" width="11" customWidth="1"/>
    <col min="46" max="46" width="8.42578125" bestFit="1" customWidth="1"/>
    <col min="47" max="47" width="6.28515625" bestFit="1" customWidth="1"/>
    <col min="48" max="48" width="8.42578125" bestFit="1" customWidth="1"/>
    <col min="49" max="49" width="6.28515625" bestFit="1" customWidth="1"/>
    <col min="50" max="50" width="7" customWidth="1"/>
    <col min="51" max="51" width="8.140625" customWidth="1"/>
    <col min="52" max="52" width="18.42578125" customWidth="1"/>
    <col min="53" max="53" width="9.7109375" customWidth="1"/>
    <col min="54" max="55" width="6.28515625" bestFit="1" customWidth="1"/>
    <col min="56" max="56" width="11" bestFit="1" customWidth="1"/>
    <col min="57" max="57" width="6.28515625" bestFit="1" customWidth="1"/>
    <col min="58" max="58" width="6.28515625" customWidth="1"/>
    <col min="59" max="59" width="8.7109375" bestFit="1" customWidth="1"/>
    <col min="60" max="60" width="17.42578125" customWidth="1"/>
    <col min="61" max="61" width="9.85546875" customWidth="1"/>
    <col min="62" max="62" width="6.28515625" bestFit="1" customWidth="1"/>
    <col min="63" max="63" width="8.5703125" bestFit="1" customWidth="1"/>
    <col min="64" max="64" width="8.42578125" bestFit="1" customWidth="1"/>
    <col min="65" max="65" width="6.28515625" bestFit="1" customWidth="1"/>
    <col min="66" max="66" width="6.28515625" customWidth="1"/>
    <col min="67" max="67" width="6.28515625" bestFit="1" customWidth="1"/>
    <col min="68" max="68" width="18.42578125" customWidth="1"/>
    <col min="69" max="69" width="9.42578125" customWidth="1"/>
    <col min="70" max="71" width="6.28515625" bestFit="1" customWidth="1"/>
    <col min="72" max="72" width="8.42578125" bestFit="1" customWidth="1"/>
    <col min="73" max="73" width="10.140625" customWidth="1"/>
    <col min="74" max="74" width="6.7109375" customWidth="1"/>
    <col min="75" max="75" width="8.7109375" bestFit="1" customWidth="1"/>
    <col min="76" max="76" width="17.42578125" customWidth="1"/>
    <col min="77" max="77" width="9.85546875" customWidth="1"/>
    <col min="78" max="78" width="6.28515625" bestFit="1" customWidth="1"/>
    <col min="79" max="79" width="8.5703125" bestFit="1" customWidth="1"/>
    <col min="80" max="80" width="8.42578125" bestFit="1" customWidth="1"/>
    <col min="81" max="81" width="6.28515625" bestFit="1" customWidth="1"/>
    <col min="82" max="82" width="6.28515625" customWidth="1"/>
    <col min="83" max="83" width="6.28515625" bestFit="1" customWidth="1"/>
    <col min="84" max="84" width="18.42578125" customWidth="1"/>
    <col min="85" max="85" width="9.7109375" bestFit="1" customWidth="1"/>
    <col min="86" max="87" width="6.28515625" bestFit="1" customWidth="1"/>
    <col min="88" max="88" width="8.42578125" bestFit="1" customWidth="1"/>
    <col min="89" max="89" width="6.28515625" bestFit="1" customWidth="1"/>
    <col min="90" max="90" width="6.28515625" customWidth="1"/>
    <col min="91" max="91" width="6.28515625" bestFit="1" customWidth="1"/>
    <col min="92" max="92" width="17.42578125" customWidth="1"/>
    <col min="93" max="93" width="9.85546875" customWidth="1"/>
    <col min="94" max="94" width="6.28515625" bestFit="1" customWidth="1"/>
    <col min="95" max="95" width="8.5703125" bestFit="1" customWidth="1"/>
    <col min="96" max="96" width="8.42578125" bestFit="1" customWidth="1"/>
    <col min="97" max="97" width="6.28515625" bestFit="1" customWidth="1"/>
    <col min="98" max="98" width="6.28515625" customWidth="1"/>
    <col min="99" max="99" width="6.28515625" bestFit="1" customWidth="1"/>
    <col min="100" max="100" width="18.42578125" customWidth="1"/>
    <col min="101" max="101" width="9.7109375" bestFit="1" customWidth="1"/>
    <col min="102" max="102" width="8.42578125" bestFit="1" customWidth="1"/>
    <col min="103" max="103" width="6.28515625" bestFit="1" customWidth="1"/>
    <col min="104" max="104" width="8.42578125" bestFit="1" customWidth="1"/>
    <col min="105" max="105" width="9.5703125" customWidth="1"/>
    <col min="106" max="106" width="8.28515625" customWidth="1"/>
    <col min="107" max="107" width="9.140625" customWidth="1"/>
    <col min="108" max="108" width="17.7109375" customWidth="1"/>
    <col min="109" max="109" width="9.7109375" customWidth="1"/>
    <col min="110" max="110" width="8.42578125" bestFit="1" customWidth="1"/>
    <col min="111" max="111" width="8.42578125" customWidth="1"/>
    <col min="112" max="112" width="8.7109375" bestFit="1" customWidth="1"/>
    <col min="113" max="115" width="7.7109375" customWidth="1"/>
  </cols>
  <sheetData>
    <row r="1" spans="1:130" s="41" customFormat="1" x14ac:dyDescent="0.25">
      <c r="A1" s="639" t="s">
        <v>228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1:130" s="41" customFormat="1" x14ac:dyDescent="0.25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166"/>
      <c r="U2" s="166"/>
      <c r="V2" s="166"/>
      <c r="W2" s="166"/>
      <c r="X2" s="166"/>
      <c r="Y2" s="166"/>
      <c r="Z2" s="299"/>
      <c r="AA2" s="166"/>
      <c r="AB2" s="166"/>
      <c r="AC2" s="166"/>
      <c r="AD2" s="166"/>
      <c r="AE2" s="166"/>
      <c r="AF2" s="166"/>
      <c r="AG2" s="166"/>
      <c r="AH2" s="299"/>
      <c r="AI2" s="166"/>
      <c r="AJ2" s="166"/>
      <c r="AK2" s="166"/>
      <c r="AL2" s="166"/>
      <c r="AM2" s="166"/>
      <c r="AN2" s="166"/>
      <c r="AO2" s="166"/>
      <c r="AP2" s="299"/>
      <c r="AQ2" s="166"/>
      <c r="AR2" s="166"/>
      <c r="AS2" s="166"/>
      <c r="AT2" s="166"/>
      <c r="AU2" s="166"/>
      <c r="AV2" s="166"/>
      <c r="AW2" s="166"/>
      <c r="AX2" s="299"/>
      <c r="AY2" s="166"/>
      <c r="AZ2" s="166"/>
      <c r="BA2" s="166"/>
      <c r="BB2" s="166"/>
      <c r="BC2" s="166"/>
      <c r="BD2" s="166"/>
      <c r="BE2" s="166"/>
      <c r="BF2" s="299"/>
      <c r="BG2" s="166"/>
      <c r="BH2" s="166"/>
      <c r="BI2" s="166"/>
      <c r="BJ2" s="166"/>
      <c r="BK2" s="166"/>
      <c r="BL2" s="166"/>
      <c r="BM2" s="166"/>
      <c r="BN2" s="299"/>
      <c r="BO2" s="166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166"/>
      <c r="CW2" s="166"/>
      <c r="CX2" s="166"/>
      <c r="CY2" s="166"/>
      <c r="CZ2" s="166"/>
      <c r="DA2" s="166"/>
      <c r="DB2" s="299"/>
      <c r="DC2" s="166"/>
      <c r="DD2" s="166"/>
      <c r="DE2" s="166"/>
      <c r="DF2" s="166"/>
      <c r="DG2" s="166"/>
      <c r="DH2" s="166"/>
      <c r="DI2" s="166"/>
      <c r="DJ2" s="299"/>
      <c r="DK2" s="166"/>
      <c r="DL2" s="166"/>
    </row>
    <row r="3" spans="1:130" s="41" customFormat="1" ht="18.75" x14ac:dyDescent="0.25">
      <c r="A3" s="603" t="s">
        <v>123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</row>
    <row r="4" spans="1:130" s="41" customFormat="1" x14ac:dyDescent="0.25">
      <c r="A4" s="606" t="s">
        <v>124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</row>
    <row r="5" spans="1:130" s="41" customFormat="1" x14ac:dyDescent="0.25">
      <c r="A5" s="606"/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160"/>
      <c r="U5" s="160"/>
      <c r="V5" s="160"/>
      <c r="W5" s="160"/>
      <c r="X5" s="160"/>
      <c r="Y5" s="160"/>
      <c r="Z5" s="296"/>
      <c r="AA5" s="160"/>
      <c r="AB5" s="160"/>
      <c r="AC5" s="160"/>
      <c r="AD5" s="160"/>
      <c r="AE5" s="160"/>
      <c r="AF5" s="160"/>
      <c r="AG5" s="160"/>
      <c r="AH5" s="296"/>
      <c r="AI5" s="160"/>
      <c r="AJ5" s="160"/>
      <c r="AK5" s="160"/>
      <c r="AL5" s="160"/>
      <c r="AM5" s="160"/>
      <c r="AN5" s="160"/>
      <c r="AO5" s="160"/>
      <c r="AP5" s="296"/>
      <c r="AQ5" s="160"/>
      <c r="AR5" s="160"/>
      <c r="AS5" s="160"/>
      <c r="AT5" s="160"/>
      <c r="AU5" s="160"/>
      <c r="AV5" s="160"/>
      <c r="AW5" s="160"/>
      <c r="AX5" s="296"/>
      <c r="AY5" s="160"/>
      <c r="AZ5" s="160"/>
      <c r="BA5" s="160"/>
      <c r="BB5" s="160"/>
      <c r="BC5" s="160"/>
      <c r="BD5" s="160"/>
      <c r="BE5" s="160"/>
      <c r="BF5" s="296"/>
      <c r="BG5" s="160"/>
      <c r="BH5" s="160"/>
      <c r="BI5" s="160"/>
      <c r="BJ5" s="160"/>
      <c r="BK5" s="160"/>
      <c r="BL5" s="160"/>
      <c r="BM5" s="160"/>
      <c r="BN5" s="296"/>
      <c r="BO5" s="160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423"/>
      <c r="CV5" s="160"/>
      <c r="CW5" s="160"/>
      <c r="CX5" s="160"/>
      <c r="CY5" s="160"/>
      <c r="CZ5" s="160"/>
      <c r="DA5" s="160"/>
      <c r="DB5" s="296"/>
      <c r="DC5" s="160"/>
      <c r="DD5" s="160"/>
      <c r="DE5" s="160"/>
      <c r="DF5" s="160"/>
      <c r="DG5" s="160"/>
      <c r="DH5" s="160"/>
      <c r="DI5" s="160"/>
      <c r="DJ5" s="296"/>
      <c r="DK5" s="160"/>
      <c r="DL5" s="160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</row>
    <row r="6" spans="1:130" s="41" customFormat="1" x14ac:dyDescent="0.25">
      <c r="A6" s="601" t="s">
        <v>761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167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</row>
    <row r="7" spans="1:130" s="41" customFormat="1" x14ac:dyDescent="0.25">
      <c r="A7" s="640"/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X7" s="169"/>
    </row>
    <row r="8" spans="1:130" s="41" customFormat="1" ht="18.75" x14ac:dyDescent="0.3">
      <c r="A8" s="641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</row>
    <row r="9" spans="1:130" s="41" customFormat="1" x14ac:dyDescent="0.25">
      <c r="A9" s="642" t="s">
        <v>226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</row>
    <row r="10" spans="1:130" s="41" customFormat="1" x14ac:dyDescent="0.25">
      <c r="A10" s="643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  <c r="CJ10" s="643"/>
      <c r="CK10" s="643"/>
      <c r="CL10" s="643"/>
      <c r="CM10" s="643"/>
      <c r="CN10" s="643"/>
      <c r="CO10" s="643"/>
      <c r="CP10" s="643"/>
      <c r="CQ10" s="643"/>
      <c r="CR10" s="643"/>
      <c r="CS10" s="643"/>
      <c r="CT10" s="643"/>
      <c r="CU10" s="643"/>
      <c r="CV10" s="643"/>
      <c r="CW10" s="643"/>
      <c r="CX10" s="643"/>
      <c r="CY10" s="643"/>
      <c r="CZ10" s="643"/>
      <c r="DA10" s="643"/>
      <c r="DB10" s="643"/>
      <c r="DC10" s="643"/>
      <c r="DD10" s="643"/>
      <c r="DE10" s="643"/>
      <c r="DF10" s="643"/>
      <c r="DG10" s="643"/>
      <c r="DH10" s="643"/>
      <c r="DI10" s="643"/>
      <c r="DJ10" s="300"/>
      <c r="DK10" s="172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</row>
    <row r="11" spans="1:130" s="41" customFormat="1" x14ac:dyDescent="0.25">
      <c r="A11" s="644" t="s">
        <v>4</v>
      </c>
      <c r="B11" s="644" t="s">
        <v>5</v>
      </c>
      <c r="C11" s="644" t="s">
        <v>6</v>
      </c>
      <c r="D11" s="644" t="s">
        <v>229</v>
      </c>
      <c r="E11" s="644"/>
      <c r="F11" s="645" t="s">
        <v>230</v>
      </c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 t="s">
        <v>231</v>
      </c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5"/>
      <c r="AL11" s="645"/>
      <c r="AM11" s="645"/>
      <c r="AN11" s="645"/>
      <c r="AO11" s="645"/>
      <c r="AP11" s="645"/>
      <c r="AQ11" s="645"/>
      <c r="AR11" s="645"/>
      <c r="AS11" s="645"/>
      <c r="AT11" s="645"/>
      <c r="AU11" s="645"/>
      <c r="AV11" s="645"/>
      <c r="AW11" s="645"/>
      <c r="AX11" s="645"/>
      <c r="AY11" s="645"/>
      <c r="AZ11" s="645"/>
      <c r="BA11" s="645"/>
      <c r="BB11" s="645"/>
      <c r="BC11" s="645"/>
      <c r="BD11" s="645"/>
      <c r="BE11" s="645"/>
      <c r="BF11" s="645"/>
      <c r="BG11" s="645"/>
      <c r="BH11" s="645"/>
      <c r="BI11" s="645"/>
      <c r="BJ11" s="645"/>
      <c r="BK11" s="645"/>
      <c r="BL11" s="645"/>
      <c r="BM11" s="645"/>
      <c r="BN11" s="645"/>
      <c r="BO11" s="645"/>
      <c r="BP11" s="645"/>
      <c r="BQ11" s="645"/>
      <c r="BR11" s="645"/>
      <c r="BS11" s="645"/>
      <c r="BT11" s="645"/>
      <c r="BU11" s="645"/>
      <c r="BV11" s="645"/>
      <c r="BW11" s="645"/>
      <c r="BX11" s="645"/>
      <c r="BY11" s="645"/>
      <c r="BZ11" s="645"/>
      <c r="CA11" s="645"/>
      <c r="CB11" s="645"/>
      <c r="CC11" s="645"/>
      <c r="CD11" s="645"/>
      <c r="CE11" s="645"/>
      <c r="CF11" s="645"/>
      <c r="CG11" s="645"/>
      <c r="CH11" s="645"/>
      <c r="CI11" s="645"/>
      <c r="CJ11" s="645"/>
      <c r="CK11" s="645"/>
      <c r="CL11" s="645"/>
      <c r="CM11" s="645"/>
      <c r="CN11" s="645"/>
      <c r="CO11" s="645"/>
      <c r="CP11" s="645"/>
      <c r="CQ11" s="645"/>
      <c r="CR11" s="645"/>
      <c r="CS11" s="645"/>
      <c r="CT11" s="645"/>
      <c r="CU11" s="645"/>
      <c r="CV11" s="645"/>
      <c r="CW11" s="645"/>
      <c r="CX11" s="645"/>
      <c r="CY11" s="645"/>
      <c r="CZ11" s="645"/>
      <c r="DA11" s="645"/>
      <c r="DB11" s="645"/>
      <c r="DC11" s="645"/>
      <c r="DD11" s="645"/>
      <c r="DE11" s="645"/>
      <c r="DF11" s="645"/>
      <c r="DG11" s="645"/>
      <c r="DH11" s="645"/>
      <c r="DI11" s="645"/>
      <c r="DJ11" s="645"/>
      <c r="DK11" s="645"/>
      <c r="DL11" s="644" t="s">
        <v>182</v>
      </c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</row>
    <row r="12" spans="1:130" s="41" customFormat="1" x14ac:dyDescent="0.25">
      <c r="A12" s="644"/>
      <c r="B12" s="644"/>
      <c r="C12" s="644"/>
      <c r="D12" s="644"/>
      <c r="E12" s="644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 t="s">
        <v>762</v>
      </c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 t="s">
        <v>763</v>
      </c>
      <c r="AK12" s="645"/>
      <c r="AL12" s="645"/>
      <c r="AM12" s="645"/>
      <c r="AN12" s="645"/>
      <c r="AO12" s="645"/>
      <c r="AP12" s="645"/>
      <c r="AQ12" s="645"/>
      <c r="AR12" s="645"/>
      <c r="AS12" s="645"/>
      <c r="AT12" s="645"/>
      <c r="AU12" s="645"/>
      <c r="AV12" s="645"/>
      <c r="AW12" s="645"/>
      <c r="AX12" s="645"/>
      <c r="AY12" s="645"/>
      <c r="AZ12" s="645" t="s">
        <v>764</v>
      </c>
      <c r="BA12" s="645"/>
      <c r="BB12" s="645"/>
      <c r="BC12" s="645"/>
      <c r="BD12" s="645"/>
      <c r="BE12" s="645"/>
      <c r="BF12" s="645"/>
      <c r="BG12" s="645"/>
      <c r="BH12" s="645"/>
      <c r="BI12" s="645"/>
      <c r="BJ12" s="645"/>
      <c r="BK12" s="645"/>
      <c r="BL12" s="645"/>
      <c r="BM12" s="645"/>
      <c r="BN12" s="645"/>
      <c r="BO12" s="645"/>
      <c r="BP12" s="645" t="s">
        <v>765</v>
      </c>
      <c r="BQ12" s="645"/>
      <c r="BR12" s="645"/>
      <c r="BS12" s="645"/>
      <c r="BT12" s="645"/>
      <c r="BU12" s="645"/>
      <c r="BV12" s="645"/>
      <c r="BW12" s="645"/>
      <c r="BX12" s="645"/>
      <c r="BY12" s="645"/>
      <c r="BZ12" s="645"/>
      <c r="CA12" s="645"/>
      <c r="CB12" s="645"/>
      <c r="CC12" s="645"/>
      <c r="CD12" s="645"/>
      <c r="CE12" s="645"/>
      <c r="CF12" s="645" t="s">
        <v>766</v>
      </c>
      <c r="CG12" s="645"/>
      <c r="CH12" s="645"/>
      <c r="CI12" s="645"/>
      <c r="CJ12" s="645"/>
      <c r="CK12" s="645"/>
      <c r="CL12" s="645"/>
      <c r="CM12" s="645"/>
      <c r="CN12" s="645"/>
      <c r="CO12" s="645"/>
      <c r="CP12" s="645"/>
      <c r="CQ12" s="645"/>
      <c r="CR12" s="645"/>
      <c r="CS12" s="645"/>
      <c r="CT12" s="645"/>
      <c r="CU12" s="645"/>
      <c r="CV12" s="644" t="s">
        <v>232</v>
      </c>
      <c r="CW12" s="644"/>
      <c r="CX12" s="644"/>
      <c r="CY12" s="644"/>
      <c r="CZ12" s="644"/>
      <c r="DA12" s="644"/>
      <c r="DB12" s="644"/>
      <c r="DC12" s="644"/>
      <c r="DD12" s="644"/>
      <c r="DE12" s="644"/>
      <c r="DF12" s="644"/>
      <c r="DG12" s="644"/>
      <c r="DH12" s="644"/>
      <c r="DI12" s="644"/>
      <c r="DJ12" s="644"/>
      <c r="DK12" s="644"/>
      <c r="DL12" s="644"/>
    </row>
    <row r="13" spans="1:130" s="41" customFormat="1" ht="57" customHeight="1" x14ac:dyDescent="0.25">
      <c r="A13" s="644"/>
      <c r="B13" s="644"/>
      <c r="C13" s="644"/>
      <c r="D13" s="644"/>
      <c r="E13" s="644"/>
      <c r="F13" s="645" t="s">
        <v>532</v>
      </c>
      <c r="G13" s="645"/>
      <c r="H13" s="645"/>
      <c r="I13" s="645"/>
      <c r="J13" s="645"/>
      <c r="K13" s="645"/>
      <c r="L13" s="645"/>
      <c r="M13" s="644" t="s">
        <v>136</v>
      </c>
      <c r="N13" s="644"/>
      <c r="O13" s="644"/>
      <c r="P13" s="644"/>
      <c r="Q13" s="644"/>
      <c r="R13" s="644"/>
      <c r="S13" s="644"/>
      <c r="T13" s="645" t="s">
        <v>531</v>
      </c>
      <c r="U13" s="645"/>
      <c r="V13" s="645"/>
      <c r="W13" s="645"/>
      <c r="X13" s="645"/>
      <c r="Y13" s="645"/>
      <c r="Z13" s="645"/>
      <c r="AA13" s="645"/>
      <c r="AB13" s="644" t="s">
        <v>136</v>
      </c>
      <c r="AC13" s="644"/>
      <c r="AD13" s="644"/>
      <c r="AE13" s="644"/>
      <c r="AF13" s="644"/>
      <c r="AG13" s="644"/>
      <c r="AH13" s="644"/>
      <c r="AI13" s="644"/>
      <c r="AJ13" s="645" t="s">
        <v>531</v>
      </c>
      <c r="AK13" s="645"/>
      <c r="AL13" s="645"/>
      <c r="AM13" s="645"/>
      <c r="AN13" s="645"/>
      <c r="AO13" s="645"/>
      <c r="AP13" s="645"/>
      <c r="AQ13" s="645"/>
      <c r="AR13" s="644" t="s">
        <v>136</v>
      </c>
      <c r="AS13" s="644"/>
      <c r="AT13" s="644"/>
      <c r="AU13" s="644"/>
      <c r="AV13" s="644"/>
      <c r="AW13" s="644"/>
      <c r="AX13" s="644"/>
      <c r="AY13" s="644"/>
      <c r="AZ13" s="645" t="s">
        <v>531</v>
      </c>
      <c r="BA13" s="645"/>
      <c r="BB13" s="645"/>
      <c r="BC13" s="645"/>
      <c r="BD13" s="645"/>
      <c r="BE13" s="645"/>
      <c r="BF13" s="645"/>
      <c r="BG13" s="645"/>
      <c r="BH13" s="644" t="s">
        <v>136</v>
      </c>
      <c r="BI13" s="644"/>
      <c r="BJ13" s="644"/>
      <c r="BK13" s="644"/>
      <c r="BL13" s="644"/>
      <c r="BM13" s="644"/>
      <c r="BN13" s="644"/>
      <c r="BO13" s="644"/>
      <c r="BP13" s="645" t="s">
        <v>531</v>
      </c>
      <c r="BQ13" s="645"/>
      <c r="BR13" s="645"/>
      <c r="BS13" s="645"/>
      <c r="BT13" s="645"/>
      <c r="BU13" s="645"/>
      <c r="BV13" s="645"/>
      <c r="BW13" s="645"/>
      <c r="BX13" s="644" t="s">
        <v>136</v>
      </c>
      <c r="BY13" s="644"/>
      <c r="BZ13" s="644"/>
      <c r="CA13" s="644"/>
      <c r="CB13" s="644"/>
      <c r="CC13" s="644"/>
      <c r="CD13" s="644"/>
      <c r="CE13" s="644"/>
      <c r="CF13" s="645" t="s">
        <v>531</v>
      </c>
      <c r="CG13" s="645"/>
      <c r="CH13" s="645"/>
      <c r="CI13" s="645"/>
      <c r="CJ13" s="645"/>
      <c r="CK13" s="645"/>
      <c r="CL13" s="645"/>
      <c r="CM13" s="645"/>
      <c r="CN13" s="644" t="s">
        <v>136</v>
      </c>
      <c r="CO13" s="644"/>
      <c r="CP13" s="644"/>
      <c r="CQ13" s="644"/>
      <c r="CR13" s="644"/>
      <c r="CS13" s="644"/>
      <c r="CT13" s="644"/>
      <c r="CU13" s="644"/>
      <c r="CV13" s="645" t="s">
        <v>531</v>
      </c>
      <c r="CW13" s="645"/>
      <c r="CX13" s="645"/>
      <c r="CY13" s="645"/>
      <c r="CZ13" s="645"/>
      <c r="DA13" s="645"/>
      <c r="DB13" s="645"/>
      <c r="DC13" s="645"/>
      <c r="DD13" s="644" t="s">
        <v>136</v>
      </c>
      <c r="DE13" s="644"/>
      <c r="DF13" s="644"/>
      <c r="DG13" s="644"/>
      <c r="DH13" s="644"/>
      <c r="DI13" s="644"/>
      <c r="DJ13" s="644"/>
      <c r="DK13" s="644"/>
      <c r="DL13" s="644"/>
    </row>
    <row r="14" spans="1:130" s="41" customFormat="1" ht="60" customHeight="1" x14ac:dyDescent="0.25">
      <c r="A14" s="644"/>
      <c r="B14" s="644"/>
      <c r="C14" s="644"/>
      <c r="D14" s="646" t="s">
        <v>531</v>
      </c>
      <c r="E14" s="646" t="s">
        <v>233</v>
      </c>
      <c r="F14" s="175" t="s">
        <v>234</v>
      </c>
      <c r="G14" s="645" t="s">
        <v>235</v>
      </c>
      <c r="H14" s="645"/>
      <c r="I14" s="645"/>
      <c r="J14" s="645"/>
      <c r="K14" s="645"/>
      <c r="L14" s="645"/>
      <c r="M14" s="175" t="s">
        <v>234</v>
      </c>
      <c r="N14" s="645" t="s">
        <v>235</v>
      </c>
      <c r="O14" s="645"/>
      <c r="P14" s="645"/>
      <c r="Q14" s="645"/>
      <c r="R14" s="645"/>
      <c r="S14" s="645"/>
      <c r="T14" s="175" t="s">
        <v>234</v>
      </c>
      <c r="U14" s="645" t="s">
        <v>235</v>
      </c>
      <c r="V14" s="645"/>
      <c r="W14" s="645"/>
      <c r="X14" s="645"/>
      <c r="Y14" s="645"/>
      <c r="Z14" s="645"/>
      <c r="AA14" s="645"/>
      <c r="AB14" s="175" t="s">
        <v>234</v>
      </c>
      <c r="AC14" s="645" t="s">
        <v>235</v>
      </c>
      <c r="AD14" s="645"/>
      <c r="AE14" s="645"/>
      <c r="AF14" s="645"/>
      <c r="AG14" s="645"/>
      <c r="AH14" s="645"/>
      <c r="AI14" s="645"/>
      <c r="AJ14" s="175" t="s">
        <v>234</v>
      </c>
      <c r="AK14" s="645" t="s">
        <v>235</v>
      </c>
      <c r="AL14" s="645"/>
      <c r="AM14" s="645"/>
      <c r="AN14" s="645"/>
      <c r="AO14" s="645"/>
      <c r="AP14" s="645"/>
      <c r="AQ14" s="645"/>
      <c r="AR14" s="175" t="s">
        <v>234</v>
      </c>
      <c r="AS14" s="645" t="s">
        <v>235</v>
      </c>
      <c r="AT14" s="645"/>
      <c r="AU14" s="645"/>
      <c r="AV14" s="645"/>
      <c r="AW14" s="645"/>
      <c r="AX14" s="645"/>
      <c r="AY14" s="645"/>
      <c r="AZ14" s="175" t="s">
        <v>234</v>
      </c>
      <c r="BA14" s="645" t="s">
        <v>235</v>
      </c>
      <c r="BB14" s="645"/>
      <c r="BC14" s="645"/>
      <c r="BD14" s="645"/>
      <c r="BE14" s="645"/>
      <c r="BF14" s="645"/>
      <c r="BG14" s="645"/>
      <c r="BH14" s="175" t="s">
        <v>234</v>
      </c>
      <c r="BI14" s="645" t="s">
        <v>235</v>
      </c>
      <c r="BJ14" s="645"/>
      <c r="BK14" s="645"/>
      <c r="BL14" s="645"/>
      <c r="BM14" s="645"/>
      <c r="BN14" s="645"/>
      <c r="BO14" s="645"/>
      <c r="BP14" s="431" t="s">
        <v>234</v>
      </c>
      <c r="BQ14" s="645" t="s">
        <v>235</v>
      </c>
      <c r="BR14" s="645"/>
      <c r="BS14" s="645"/>
      <c r="BT14" s="645"/>
      <c r="BU14" s="645"/>
      <c r="BV14" s="645"/>
      <c r="BW14" s="645"/>
      <c r="BX14" s="431" t="s">
        <v>234</v>
      </c>
      <c r="BY14" s="645" t="s">
        <v>235</v>
      </c>
      <c r="BZ14" s="645"/>
      <c r="CA14" s="645"/>
      <c r="CB14" s="645"/>
      <c r="CC14" s="645"/>
      <c r="CD14" s="645"/>
      <c r="CE14" s="645"/>
      <c r="CF14" s="431" t="s">
        <v>234</v>
      </c>
      <c r="CG14" s="645" t="s">
        <v>235</v>
      </c>
      <c r="CH14" s="645"/>
      <c r="CI14" s="645"/>
      <c r="CJ14" s="645"/>
      <c r="CK14" s="645"/>
      <c r="CL14" s="645"/>
      <c r="CM14" s="645"/>
      <c r="CN14" s="431" t="s">
        <v>234</v>
      </c>
      <c r="CO14" s="645" t="s">
        <v>235</v>
      </c>
      <c r="CP14" s="645"/>
      <c r="CQ14" s="645"/>
      <c r="CR14" s="645"/>
      <c r="CS14" s="645"/>
      <c r="CT14" s="645"/>
      <c r="CU14" s="645"/>
      <c r="CV14" s="175" t="s">
        <v>234</v>
      </c>
      <c r="CW14" s="645" t="s">
        <v>235</v>
      </c>
      <c r="CX14" s="645"/>
      <c r="CY14" s="645"/>
      <c r="CZ14" s="645"/>
      <c r="DA14" s="645"/>
      <c r="DB14" s="645"/>
      <c r="DC14" s="645"/>
      <c r="DD14" s="175" t="s">
        <v>234</v>
      </c>
      <c r="DE14" s="645" t="s">
        <v>235</v>
      </c>
      <c r="DF14" s="645"/>
      <c r="DG14" s="645"/>
      <c r="DH14" s="645"/>
      <c r="DI14" s="645"/>
      <c r="DJ14" s="645"/>
      <c r="DK14" s="645"/>
      <c r="DL14" s="644"/>
    </row>
    <row r="15" spans="1:130" s="41" customFormat="1" ht="120" x14ac:dyDescent="0.25">
      <c r="A15" s="644"/>
      <c r="B15" s="644"/>
      <c r="C15" s="644"/>
      <c r="D15" s="646"/>
      <c r="E15" s="646"/>
      <c r="F15" s="163" t="s">
        <v>236</v>
      </c>
      <c r="G15" s="163" t="s">
        <v>236</v>
      </c>
      <c r="H15" s="176" t="s">
        <v>237</v>
      </c>
      <c r="I15" s="176" t="s">
        <v>238</v>
      </c>
      <c r="J15" s="176" t="s">
        <v>239</v>
      </c>
      <c r="K15" s="176" t="s">
        <v>240</v>
      </c>
      <c r="L15" s="176" t="s">
        <v>241</v>
      </c>
      <c r="M15" s="163" t="s">
        <v>236</v>
      </c>
      <c r="N15" s="163" t="s">
        <v>236</v>
      </c>
      <c r="O15" s="176" t="s">
        <v>237</v>
      </c>
      <c r="P15" s="176" t="s">
        <v>238</v>
      </c>
      <c r="Q15" s="176" t="s">
        <v>239</v>
      </c>
      <c r="R15" s="176" t="s">
        <v>240</v>
      </c>
      <c r="S15" s="176" t="s">
        <v>241</v>
      </c>
      <c r="T15" s="163" t="s">
        <v>236</v>
      </c>
      <c r="U15" s="163" t="s">
        <v>236</v>
      </c>
      <c r="V15" s="176" t="s">
        <v>237</v>
      </c>
      <c r="W15" s="176" t="s">
        <v>238</v>
      </c>
      <c r="X15" s="176" t="s">
        <v>239</v>
      </c>
      <c r="Y15" s="176" t="s">
        <v>240</v>
      </c>
      <c r="Z15" s="311" t="s">
        <v>572</v>
      </c>
      <c r="AA15" s="311" t="s">
        <v>573</v>
      </c>
      <c r="AB15" s="163" t="s">
        <v>236</v>
      </c>
      <c r="AC15" s="163" t="s">
        <v>236</v>
      </c>
      <c r="AD15" s="176" t="s">
        <v>237</v>
      </c>
      <c r="AE15" s="176" t="s">
        <v>238</v>
      </c>
      <c r="AF15" s="176" t="s">
        <v>239</v>
      </c>
      <c r="AG15" s="176" t="s">
        <v>240</v>
      </c>
      <c r="AH15" s="311" t="s">
        <v>572</v>
      </c>
      <c r="AI15" s="311" t="s">
        <v>573</v>
      </c>
      <c r="AJ15" s="163" t="s">
        <v>236</v>
      </c>
      <c r="AK15" s="163" t="s">
        <v>236</v>
      </c>
      <c r="AL15" s="176" t="s">
        <v>237</v>
      </c>
      <c r="AM15" s="176" t="s">
        <v>238</v>
      </c>
      <c r="AN15" s="176" t="s">
        <v>239</v>
      </c>
      <c r="AO15" s="176" t="s">
        <v>240</v>
      </c>
      <c r="AP15" s="311" t="s">
        <v>572</v>
      </c>
      <c r="AQ15" s="311" t="s">
        <v>573</v>
      </c>
      <c r="AR15" s="163" t="s">
        <v>236</v>
      </c>
      <c r="AS15" s="163" t="s">
        <v>236</v>
      </c>
      <c r="AT15" s="176" t="s">
        <v>237</v>
      </c>
      <c r="AU15" s="176" t="s">
        <v>238</v>
      </c>
      <c r="AV15" s="176" t="s">
        <v>239</v>
      </c>
      <c r="AW15" s="176" t="s">
        <v>240</v>
      </c>
      <c r="AX15" s="311" t="s">
        <v>572</v>
      </c>
      <c r="AY15" s="311" t="s">
        <v>573</v>
      </c>
      <c r="AZ15" s="163" t="s">
        <v>236</v>
      </c>
      <c r="BA15" s="163" t="s">
        <v>236</v>
      </c>
      <c r="BB15" s="176" t="s">
        <v>237</v>
      </c>
      <c r="BC15" s="176" t="s">
        <v>238</v>
      </c>
      <c r="BD15" s="176" t="s">
        <v>239</v>
      </c>
      <c r="BE15" s="176" t="s">
        <v>240</v>
      </c>
      <c r="BF15" s="311" t="s">
        <v>572</v>
      </c>
      <c r="BG15" s="311" t="s">
        <v>573</v>
      </c>
      <c r="BH15" s="163" t="s">
        <v>236</v>
      </c>
      <c r="BI15" s="163" t="s">
        <v>236</v>
      </c>
      <c r="BJ15" s="176" t="s">
        <v>237</v>
      </c>
      <c r="BK15" s="176" t="s">
        <v>238</v>
      </c>
      <c r="BL15" s="176" t="s">
        <v>239</v>
      </c>
      <c r="BM15" s="176" t="s">
        <v>240</v>
      </c>
      <c r="BN15" s="311" t="s">
        <v>572</v>
      </c>
      <c r="BO15" s="311" t="s">
        <v>573</v>
      </c>
      <c r="BP15" s="428" t="s">
        <v>236</v>
      </c>
      <c r="BQ15" s="428" t="s">
        <v>236</v>
      </c>
      <c r="BR15" s="429" t="s">
        <v>237</v>
      </c>
      <c r="BS15" s="429" t="s">
        <v>238</v>
      </c>
      <c r="BT15" s="429" t="s">
        <v>239</v>
      </c>
      <c r="BU15" s="429" t="s">
        <v>240</v>
      </c>
      <c r="BV15" s="429" t="s">
        <v>572</v>
      </c>
      <c r="BW15" s="429" t="s">
        <v>573</v>
      </c>
      <c r="BX15" s="428" t="s">
        <v>236</v>
      </c>
      <c r="BY15" s="428" t="s">
        <v>236</v>
      </c>
      <c r="BZ15" s="429" t="s">
        <v>237</v>
      </c>
      <c r="CA15" s="429" t="s">
        <v>238</v>
      </c>
      <c r="CB15" s="429" t="s">
        <v>239</v>
      </c>
      <c r="CC15" s="429" t="s">
        <v>240</v>
      </c>
      <c r="CD15" s="429" t="s">
        <v>572</v>
      </c>
      <c r="CE15" s="429" t="s">
        <v>573</v>
      </c>
      <c r="CF15" s="428" t="s">
        <v>236</v>
      </c>
      <c r="CG15" s="428" t="s">
        <v>236</v>
      </c>
      <c r="CH15" s="429" t="s">
        <v>237</v>
      </c>
      <c r="CI15" s="429" t="s">
        <v>238</v>
      </c>
      <c r="CJ15" s="429" t="s">
        <v>239</v>
      </c>
      <c r="CK15" s="429" t="s">
        <v>240</v>
      </c>
      <c r="CL15" s="429" t="s">
        <v>572</v>
      </c>
      <c r="CM15" s="429" t="s">
        <v>573</v>
      </c>
      <c r="CN15" s="428" t="s">
        <v>236</v>
      </c>
      <c r="CO15" s="428" t="s">
        <v>236</v>
      </c>
      <c r="CP15" s="429" t="s">
        <v>237</v>
      </c>
      <c r="CQ15" s="429" t="s">
        <v>238</v>
      </c>
      <c r="CR15" s="429" t="s">
        <v>239</v>
      </c>
      <c r="CS15" s="429" t="s">
        <v>240</v>
      </c>
      <c r="CT15" s="429" t="s">
        <v>572</v>
      </c>
      <c r="CU15" s="429" t="s">
        <v>573</v>
      </c>
      <c r="CV15" s="163" t="s">
        <v>236</v>
      </c>
      <c r="CW15" s="163" t="s">
        <v>236</v>
      </c>
      <c r="CX15" s="176" t="s">
        <v>237</v>
      </c>
      <c r="CY15" s="176" t="s">
        <v>238</v>
      </c>
      <c r="CZ15" s="176" t="s">
        <v>239</v>
      </c>
      <c r="DA15" s="176" t="s">
        <v>240</v>
      </c>
      <c r="DB15" s="311" t="s">
        <v>572</v>
      </c>
      <c r="DC15" s="311" t="s">
        <v>573</v>
      </c>
      <c r="DD15" s="163" t="s">
        <v>236</v>
      </c>
      <c r="DE15" s="163" t="s">
        <v>236</v>
      </c>
      <c r="DF15" s="176" t="s">
        <v>237</v>
      </c>
      <c r="DG15" s="176" t="s">
        <v>238</v>
      </c>
      <c r="DH15" s="176" t="s">
        <v>239</v>
      </c>
      <c r="DI15" s="176" t="s">
        <v>240</v>
      </c>
      <c r="DJ15" s="311" t="s">
        <v>572</v>
      </c>
      <c r="DK15" s="176" t="s">
        <v>573</v>
      </c>
      <c r="DL15" s="644"/>
    </row>
    <row r="16" spans="1:130" s="41" customFormat="1" x14ac:dyDescent="0.25">
      <c r="A16" s="177">
        <v>1</v>
      </c>
      <c r="B16" s="177">
        <v>2</v>
      </c>
      <c r="C16" s="177">
        <v>3</v>
      </c>
      <c r="D16" s="177">
        <v>4</v>
      </c>
      <c r="E16" s="177">
        <v>5</v>
      </c>
      <c r="F16" s="178" t="s">
        <v>242</v>
      </c>
      <c r="G16" s="178" t="s">
        <v>243</v>
      </c>
      <c r="H16" s="178" t="s">
        <v>244</v>
      </c>
      <c r="I16" s="178" t="s">
        <v>245</v>
      </c>
      <c r="J16" s="178" t="s">
        <v>246</v>
      </c>
      <c r="K16" s="178" t="s">
        <v>247</v>
      </c>
      <c r="L16" s="178" t="s">
        <v>248</v>
      </c>
      <c r="M16" s="178" t="s">
        <v>249</v>
      </c>
      <c r="N16" s="178" t="s">
        <v>250</v>
      </c>
      <c r="O16" s="178" t="s">
        <v>251</v>
      </c>
      <c r="P16" s="178" t="s">
        <v>252</v>
      </c>
      <c r="Q16" s="178" t="s">
        <v>253</v>
      </c>
      <c r="R16" s="178" t="s">
        <v>254</v>
      </c>
      <c r="S16" s="178" t="s">
        <v>255</v>
      </c>
      <c r="T16" s="178" t="s">
        <v>256</v>
      </c>
      <c r="U16" s="178" t="s">
        <v>257</v>
      </c>
      <c r="V16" s="178" t="s">
        <v>258</v>
      </c>
      <c r="W16" s="178" t="s">
        <v>259</v>
      </c>
      <c r="X16" s="178" t="s">
        <v>260</v>
      </c>
      <c r="Y16" s="178" t="s">
        <v>261</v>
      </c>
      <c r="Z16" s="178" t="s">
        <v>262</v>
      </c>
      <c r="AA16" s="178" t="s">
        <v>574</v>
      </c>
      <c r="AB16" s="178" t="s">
        <v>263</v>
      </c>
      <c r="AC16" s="178" t="s">
        <v>264</v>
      </c>
      <c r="AD16" s="178" t="s">
        <v>265</v>
      </c>
      <c r="AE16" s="178" t="s">
        <v>266</v>
      </c>
      <c r="AF16" s="178" t="s">
        <v>267</v>
      </c>
      <c r="AG16" s="178" t="s">
        <v>268</v>
      </c>
      <c r="AH16" s="178" t="s">
        <v>269</v>
      </c>
      <c r="AI16" s="178" t="s">
        <v>575</v>
      </c>
      <c r="AJ16" s="178" t="s">
        <v>270</v>
      </c>
      <c r="AK16" s="178" t="s">
        <v>271</v>
      </c>
      <c r="AL16" s="178" t="s">
        <v>272</v>
      </c>
      <c r="AM16" s="178" t="s">
        <v>273</v>
      </c>
      <c r="AN16" s="178" t="s">
        <v>274</v>
      </c>
      <c r="AO16" s="178" t="s">
        <v>275</v>
      </c>
      <c r="AP16" s="178" t="s">
        <v>276</v>
      </c>
      <c r="AQ16" s="178" t="s">
        <v>576</v>
      </c>
      <c r="AR16" s="178" t="s">
        <v>277</v>
      </c>
      <c r="AS16" s="178" t="s">
        <v>278</v>
      </c>
      <c r="AT16" s="178" t="s">
        <v>279</v>
      </c>
      <c r="AU16" s="178" t="s">
        <v>280</v>
      </c>
      <c r="AV16" s="178" t="s">
        <v>281</v>
      </c>
      <c r="AW16" s="178" t="s">
        <v>282</v>
      </c>
      <c r="AX16" s="178" t="s">
        <v>283</v>
      </c>
      <c r="AY16" s="178" t="s">
        <v>581</v>
      </c>
      <c r="AZ16" s="178" t="s">
        <v>284</v>
      </c>
      <c r="BA16" s="178" t="s">
        <v>285</v>
      </c>
      <c r="BB16" s="178" t="s">
        <v>286</v>
      </c>
      <c r="BC16" s="178" t="s">
        <v>287</v>
      </c>
      <c r="BD16" s="178" t="s">
        <v>288</v>
      </c>
      <c r="BE16" s="178" t="s">
        <v>289</v>
      </c>
      <c r="BF16" s="178" t="s">
        <v>290</v>
      </c>
      <c r="BG16" s="178" t="s">
        <v>580</v>
      </c>
      <c r="BH16" s="178" t="s">
        <v>291</v>
      </c>
      <c r="BI16" s="178" t="s">
        <v>292</v>
      </c>
      <c r="BJ16" s="178" t="s">
        <v>293</v>
      </c>
      <c r="BK16" s="178" t="s">
        <v>294</v>
      </c>
      <c r="BL16" s="178" t="s">
        <v>295</v>
      </c>
      <c r="BM16" s="178" t="s">
        <v>296</v>
      </c>
      <c r="BN16" s="178" t="s">
        <v>297</v>
      </c>
      <c r="BO16" s="178" t="s">
        <v>579</v>
      </c>
      <c r="BP16" s="178" t="s">
        <v>284</v>
      </c>
      <c r="BQ16" s="178" t="s">
        <v>285</v>
      </c>
      <c r="BR16" s="178" t="s">
        <v>286</v>
      </c>
      <c r="BS16" s="178" t="s">
        <v>287</v>
      </c>
      <c r="BT16" s="178" t="s">
        <v>288</v>
      </c>
      <c r="BU16" s="178" t="s">
        <v>289</v>
      </c>
      <c r="BV16" s="178" t="s">
        <v>290</v>
      </c>
      <c r="BW16" s="178" t="s">
        <v>580</v>
      </c>
      <c r="BX16" s="178" t="s">
        <v>291</v>
      </c>
      <c r="BY16" s="178" t="s">
        <v>292</v>
      </c>
      <c r="BZ16" s="178" t="s">
        <v>293</v>
      </c>
      <c r="CA16" s="178" t="s">
        <v>294</v>
      </c>
      <c r="CB16" s="178" t="s">
        <v>295</v>
      </c>
      <c r="CC16" s="178" t="s">
        <v>296</v>
      </c>
      <c r="CD16" s="178" t="s">
        <v>297</v>
      </c>
      <c r="CE16" s="178" t="s">
        <v>579</v>
      </c>
      <c r="CF16" s="178" t="s">
        <v>284</v>
      </c>
      <c r="CG16" s="178" t="s">
        <v>285</v>
      </c>
      <c r="CH16" s="178" t="s">
        <v>286</v>
      </c>
      <c r="CI16" s="178" t="s">
        <v>287</v>
      </c>
      <c r="CJ16" s="178" t="s">
        <v>288</v>
      </c>
      <c r="CK16" s="178" t="s">
        <v>289</v>
      </c>
      <c r="CL16" s="178" t="s">
        <v>290</v>
      </c>
      <c r="CM16" s="178" t="s">
        <v>580</v>
      </c>
      <c r="CN16" s="178" t="s">
        <v>291</v>
      </c>
      <c r="CO16" s="178" t="s">
        <v>292</v>
      </c>
      <c r="CP16" s="178" t="s">
        <v>293</v>
      </c>
      <c r="CQ16" s="178" t="s">
        <v>294</v>
      </c>
      <c r="CR16" s="178" t="s">
        <v>295</v>
      </c>
      <c r="CS16" s="178" t="s">
        <v>296</v>
      </c>
      <c r="CT16" s="178" t="s">
        <v>297</v>
      </c>
      <c r="CU16" s="178" t="s">
        <v>579</v>
      </c>
      <c r="CV16" s="178" t="s">
        <v>298</v>
      </c>
      <c r="CW16" s="178" t="s">
        <v>299</v>
      </c>
      <c r="CX16" s="178" t="s">
        <v>300</v>
      </c>
      <c r="CY16" s="178" t="s">
        <v>301</v>
      </c>
      <c r="CZ16" s="178" t="s">
        <v>302</v>
      </c>
      <c r="DA16" s="178" t="s">
        <v>303</v>
      </c>
      <c r="DB16" s="178" t="s">
        <v>304</v>
      </c>
      <c r="DC16" s="178" t="s">
        <v>578</v>
      </c>
      <c r="DD16" s="178" t="s">
        <v>305</v>
      </c>
      <c r="DE16" s="178" t="s">
        <v>306</v>
      </c>
      <c r="DF16" s="178" t="s">
        <v>307</v>
      </c>
      <c r="DG16" s="178" t="s">
        <v>308</v>
      </c>
      <c r="DH16" s="178" t="s">
        <v>309</v>
      </c>
      <c r="DI16" s="178" t="s">
        <v>310</v>
      </c>
      <c r="DJ16" s="178" t="s">
        <v>311</v>
      </c>
      <c r="DK16" s="178" t="s">
        <v>577</v>
      </c>
      <c r="DL16" s="178" t="s">
        <v>312</v>
      </c>
    </row>
    <row r="17" spans="1:116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66.641730901578086</v>
      </c>
      <c r="E17" s="184">
        <f t="shared" ref="E17:BP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  <c r="L17" s="184">
        <f t="shared" si="0"/>
        <v>0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184">
        <f t="shared" si="0"/>
        <v>0</v>
      </c>
      <c r="Q17" s="184">
        <f t="shared" si="0"/>
        <v>0</v>
      </c>
      <c r="R17" s="184">
        <f t="shared" si="0"/>
        <v>0</v>
      </c>
      <c r="S17" s="184">
        <f t="shared" si="0"/>
        <v>0</v>
      </c>
      <c r="T17" s="184">
        <f t="shared" si="0"/>
        <v>0</v>
      </c>
      <c r="U17" s="184">
        <f t="shared" si="0"/>
        <v>8.1018356066666684</v>
      </c>
      <c r="V17" s="184">
        <f t="shared" si="0"/>
        <v>0</v>
      </c>
      <c r="W17" s="184">
        <f t="shared" si="0"/>
        <v>0</v>
      </c>
      <c r="X17" s="184">
        <f t="shared" si="0"/>
        <v>0</v>
      </c>
      <c r="Y17" s="184">
        <f t="shared" si="0"/>
        <v>6.4</v>
      </c>
      <c r="Z17" s="320">
        <f t="shared" si="0"/>
        <v>347</v>
      </c>
      <c r="AA17" s="320">
        <f t="shared" si="0"/>
        <v>0</v>
      </c>
      <c r="AB17" s="184">
        <f t="shared" si="0"/>
        <v>0</v>
      </c>
      <c r="AC17" s="184">
        <f t="shared" si="0"/>
        <v>0</v>
      </c>
      <c r="AD17" s="184">
        <f t="shared" si="0"/>
        <v>0</v>
      </c>
      <c r="AE17" s="184">
        <f t="shared" si="0"/>
        <v>0</v>
      </c>
      <c r="AF17" s="184">
        <f t="shared" si="0"/>
        <v>0</v>
      </c>
      <c r="AG17" s="184">
        <f t="shared" si="0"/>
        <v>0</v>
      </c>
      <c r="AH17" s="184">
        <f t="shared" si="0"/>
        <v>0</v>
      </c>
      <c r="AI17" s="184">
        <f t="shared" si="0"/>
        <v>0</v>
      </c>
      <c r="AJ17" s="184">
        <f t="shared" si="0"/>
        <v>0</v>
      </c>
      <c r="AK17" s="184">
        <f t="shared" si="0"/>
        <v>12.836795200860001</v>
      </c>
      <c r="AL17" s="184">
        <f t="shared" si="0"/>
        <v>0</v>
      </c>
      <c r="AM17" s="184">
        <f t="shared" si="0"/>
        <v>0</v>
      </c>
      <c r="AN17" s="184">
        <f t="shared" si="0"/>
        <v>3.95</v>
      </c>
      <c r="AO17" s="184">
        <f t="shared" si="0"/>
        <v>0.25</v>
      </c>
      <c r="AP17" s="320">
        <f t="shared" si="0"/>
        <v>287</v>
      </c>
      <c r="AQ17" s="320">
        <f t="shared" si="0"/>
        <v>0</v>
      </c>
      <c r="AR17" s="184">
        <f t="shared" si="0"/>
        <v>0</v>
      </c>
      <c r="AS17" s="184">
        <f t="shared" si="0"/>
        <v>0</v>
      </c>
      <c r="AT17" s="184">
        <f t="shared" si="0"/>
        <v>0</v>
      </c>
      <c r="AU17" s="184">
        <f t="shared" si="0"/>
        <v>0</v>
      </c>
      <c r="AV17" s="184">
        <f t="shared" si="0"/>
        <v>0</v>
      </c>
      <c r="AW17" s="184">
        <f t="shared" si="0"/>
        <v>0</v>
      </c>
      <c r="AX17" s="184">
        <f t="shared" si="0"/>
        <v>0</v>
      </c>
      <c r="AY17" s="184">
        <f t="shared" si="0"/>
        <v>0</v>
      </c>
      <c r="AZ17" s="184">
        <f t="shared" si="0"/>
        <v>0</v>
      </c>
      <c r="BA17" s="184">
        <f t="shared" si="0"/>
        <v>11.82594441127852</v>
      </c>
      <c r="BB17" s="184">
        <f t="shared" si="0"/>
        <v>0</v>
      </c>
      <c r="BC17" s="184">
        <f t="shared" si="0"/>
        <v>0</v>
      </c>
      <c r="BD17" s="184">
        <f t="shared" si="0"/>
        <v>1.5659999999999998</v>
      </c>
      <c r="BE17" s="184">
        <f t="shared" si="0"/>
        <v>0</v>
      </c>
      <c r="BF17" s="320">
        <f t="shared" si="0"/>
        <v>171</v>
      </c>
      <c r="BG17" s="320">
        <f t="shared" si="0"/>
        <v>1</v>
      </c>
      <c r="BH17" s="184">
        <f t="shared" si="0"/>
        <v>0</v>
      </c>
      <c r="BI17" s="184">
        <f t="shared" si="0"/>
        <v>0</v>
      </c>
      <c r="BJ17" s="184">
        <f t="shared" si="0"/>
        <v>0</v>
      </c>
      <c r="BK17" s="184">
        <f t="shared" si="0"/>
        <v>0</v>
      </c>
      <c r="BL17" s="184">
        <f t="shared" si="0"/>
        <v>0</v>
      </c>
      <c r="BM17" s="184">
        <f t="shared" si="0"/>
        <v>0</v>
      </c>
      <c r="BN17" s="184">
        <f t="shared" si="0"/>
        <v>0</v>
      </c>
      <c r="BO17" s="184">
        <f t="shared" si="0"/>
        <v>0</v>
      </c>
      <c r="BP17" s="184">
        <f t="shared" si="0"/>
        <v>0</v>
      </c>
      <c r="BQ17" s="184">
        <f t="shared" ref="BQ17:DL17" si="1">BQ18</f>
        <v>17.754960883375936</v>
      </c>
      <c r="BR17" s="184">
        <f t="shared" si="1"/>
        <v>0</v>
      </c>
      <c r="BS17" s="184">
        <f t="shared" si="1"/>
        <v>0</v>
      </c>
      <c r="BT17" s="184">
        <f t="shared" si="1"/>
        <v>2.0659999999999998</v>
      </c>
      <c r="BU17" s="184">
        <f t="shared" si="1"/>
        <v>0.66</v>
      </c>
      <c r="BV17" s="320">
        <f t="shared" si="1"/>
        <v>201</v>
      </c>
      <c r="BW17" s="320">
        <f t="shared" si="1"/>
        <v>1</v>
      </c>
      <c r="BX17" s="184">
        <f t="shared" si="1"/>
        <v>0</v>
      </c>
      <c r="BY17" s="184">
        <f t="shared" si="1"/>
        <v>0</v>
      </c>
      <c r="BZ17" s="184">
        <f t="shared" si="1"/>
        <v>0</v>
      </c>
      <c r="CA17" s="184">
        <f t="shared" si="1"/>
        <v>0</v>
      </c>
      <c r="CB17" s="184">
        <f t="shared" si="1"/>
        <v>0</v>
      </c>
      <c r="CC17" s="184">
        <f t="shared" si="1"/>
        <v>0</v>
      </c>
      <c r="CD17" s="184">
        <f t="shared" si="1"/>
        <v>0</v>
      </c>
      <c r="CE17" s="184">
        <f t="shared" si="1"/>
        <v>0</v>
      </c>
      <c r="CF17" s="184">
        <f t="shared" si="1"/>
        <v>0</v>
      </c>
      <c r="CG17" s="184">
        <f t="shared" si="1"/>
        <v>16.122194799396958</v>
      </c>
      <c r="CH17" s="184">
        <f t="shared" si="1"/>
        <v>0</v>
      </c>
      <c r="CI17" s="184">
        <f t="shared" si="1"/>
        <v>0</v>
      </c>
      <c r="CJ17" s="184">
        <f t="shared" si="1"/>
        <v>0</v>
      </c>
      <c r="CK17" s="184">
        <f t="shared" si="1"/>
        <v>0</v>
      </c>
      <c r="CL17" s="320">
        <f t="shared" si="1"/>
        <v>213</v>
      </c>
      <c r="CM17" s="320">
        <f t="shared" si="1"/>
        <v>0</v>
      </c>
      <c r="CN17" s="184">
        <f t="shared" si="1"/>
        <v>0</v>
      </c>
      <c r="CO17" s="184">
        <f t="shared" si="1"/>
        <v>0</v>
      </c>
      <c r="CP17" s="184">
        <f t="shared" si="1"/>
        <v>0</v>
      </c>
      <c r="CQ17" s="184">
        <f t="shared" si="1"/>
        <v>0</v>
      </c>
      <c r="CR17" s="184">
        <f t="shared" si="1"/>
        <v>0</v>
      </c>
      <c r="CS17" s="184">
        <f t="shared" si="1"/>
        <v>0</v>
      </c>
      <c r="CT17" s="184">
        <f t="shared" si="1"/>
        <v>0</v>
      </c>
      <c r="CU17" s="184">
        <f t="shared" si="1"/>
        <v>0</v>
      </c>
      <c r="CV17" s="184">
        <f t="shared" si="1"/>
        <v>0</v>
      </c>
      <c r="CW17" s="184">
        <f t="shared" si="1"/>
        <v>66.641730901578086</v>
      </c>
      <c r="CX17" s="184">
        <f t="shared" si="1"/>
        <v>0</v>
      </c>
      <c r="CY17" s="184">
        <f t="shared" si="1"/>
        <v>0</v>
      </c>
      <c r="CZ17" s="184">
        <f t="shared" si="1"/>
        <v>7.5819999999999999</v>
      </c>
      <c r="DA17" s="184">
        <f t="shared" si="1"/>
        <v>7.3100000000000005</v>
      </c>
      <c r="DB17" s="320">
        <f t="shared" si="1"/>
        <v>1219</v>
      </c>
      <c r="DC17" s="320">
        <f t="shared" si="1"/>
        <v>2</v>
      </c>
      <c r="DD17" s="184">
        <f t="shared" si="1"/>
        <v>0</v>
      </c>
      <c r="DE17" s="184">
        <f t="shared" si="1"/>
        <v>0</v>
      </c>
      <c r="DF17" s="184">
        <f t="shared" si="1"/>
        <v>0</v>
      </c>
      <c r="DG17" s="184">
        <f t="shared" si="1"/>
        <v>0</v>
      </c>
      <c r="DH17" s="184">
        <f t="shared" si="1"/>
        <v>0</v>
      </c>
      <c r="DI17" s="184">
        <f t="shared" si="1"/>
        <v>0</v>
      </c>
      <c r="DJ17" s="184">
        <f t="shared" si="1"/>
        <v>0</v>
      </c>
      <c r="DK17" s="184">
        <f t="shared" si="1"/>
        <v>0</v>
      </c>
      <c r="DL17" s="184">
        <f t="shared" si="1"/>
        <v>0</v>
      </c>
    </row>
    <row r="18" spans="1:116" s="189" customFormat="1" x14ac:dyDescent="0.25">
      <c r="A18" s="186" t="s">
        <v>81</v>
      </c>
      <c r="B18" s="9" t="s">
        <v>36</v>
      </c>
      <c r="C18" s="187">
        <v>0</v>
      </c>
      <c r="D18" s="187">
        <f>D38+D73</f>
        <v>66.641730901578086</v>
      </c>
      <c r="E18" s="187">
        <f t="shared" ref="E18:BP18" si="2">E38+E73</f>
        <v>0</v>
      </c>
      <c r="F18" s="187">
        <f t="shared" si="2"/>
        <v>0</v>
      </c>
      <c r="G18" s="187">
        <f t="shared" si="2"/>
        <v>0</v>
      </c>
      <c r="H18" s="187">
        <f t="shared" si="2"/>
        <v>0</v>
      </c>
      <c r="I18" s="187">
        <f t="shared" si="2"/>
        <v>0</v>
      </c>
      <c r="J18" s="187">
        <f t="shared" si="2"/>
        <v>0</v>
      </c>
      <c r="K18" s="187">
        <f t="shared" si="2"/>
        <v>0</v>
      </c>
      <c r="L18" s="187">
        <f t="shared" si="2"/>
        <v>0</v>
      </c>
      <c r="M18" s="187">
        <f t="shared" si="2"/>
        <v>0</v>
      </c>
      <c r="N18" s="187">
        <f t="shared" si="2"/>
        <v>0</v>
      </c>
      <c r="O18" s="187">
        <f t="shared" si="2"/>
        <v>0</v>
      </c>
      <c r="P18" s="187">
        <f t="shared" si="2"/>
        <v>0</v>
      </c>
      <c r="Q18" s="187">
        <f t="shared" si="2"/>
        <v>0</v>
      </c>
      <c r="R18" s="187">
        <f t="shared" si="2"/>
        <v>0</v>
      </c>
      <c r="S18" s="187">
        <f t="shared" si="2"/>
        <v>0</v>
      </c>
      <c r="T18" s="187">
        <f t="shared" si="2"/>
        <v>0</v>
      </c>
      <c r="U18" s="187">
        <f t="shared" si="2"/>
        <v>8.1018356066666684</v>
      </c>
      <c r="V18" s="187">
        <f t="shared" si="2"/>
        <v>0</v>
      </c>
      <c r="W18" s="187">
        <f t="shared" si="2"/>
        <v>0</v>
      </c>
      <c r="X18" s="187">
        <f t="shared" si="2"/>
        <v>0</v>
      </c>
      <c r="Y18" s="187">
        <f t="shared" si="2"/>
        <v>6.4</v>
      </c>
      <c r="Z18" s="321">
        <f t="shared" si="2"/>
        <v>347</v>
      </c>
      <c r="AA18" s="321">
        <f t="shared" si="2"/>
        <v>0</v>
      </c>
      <c r="AB18" s="187">
        <f t="shared" si="2"/>
        <v>0</v>
      </c>
      <c r="AC18" s="187">
        <f t="shared" si="2"/>
        <v>0</v>
      </c>
      <c r="AD18" s="187">
        <f t="shared" si="2"/>
        <v>0</v>
      </c>
      <c r="AE18" s="187">
        <f t="shared" si="2"/>
        <v>0</v>
      </c>
      <c r="AF18" s="187">
        <f t="shared" si="2"/>
        <v>0</v>
      </c>
      <c r="AG18" s="187">
        <f t="shared" si="2"/>
        <v>0</v>
      </c>
      <c r="AH18" s="187">
        <f t="shared" si="2"/>
        <v>0</v>
      </c>
      <c r="AI18" s="187">
        <f t="shared" si="2"/>
        <v>0</v>
      </c>
      <c r="AJ18" s="187">
        <f t="shared" si="2"/>
        <v>0</v>
      </c>
      <c r="AK18" s="187">
        <f t="shared" si="2"/>
        <v>12.836795200860001</v>
      </c>
      <c r="AL18" s="187">
        <f t="shared" si="2"/>
        <v>0</v>
      </c>
      <c r="AM18" s="187">
        <f t="shared" si="2"/>
        <v>0</v>
      </c>
      <c r="AN18" s="187">
        <f t="shared" si="2"/>
        <v>3.95</v>
      </c>
      <c r="AO18" s="187">
        <f t="shared" si="2"/>
        <v>0.25</v>
      </c>
      <c r="AP18" s="321">
        <f t="shared" si="2"/>
        <v>287</v>
      </c>
      <c r="AQ18" s="321">
        <f t="shared" si="2"/>
        <v>0</v>
      </c>
      <c r="AR18" s="187">
        <f t="shared" si="2"/>
        <v>0</v>
      </c>
      <c r="AS18" s="187">
        <f t="shared" si="2"/>
        <v>0</v>
      </c>
      <c r="AT18" s="187">
        <f t="shared" si="2"/>
        <v>0</v>
      </c>
      <c r="AU18" s="187">
        <f t="shared" si="2"/>
        <v>0</v>
      </c>
      <c r="AV18" s="187">
        <f t="shared" si="2"/>
        <v>0</v>
      </c>
      <c r="AW18" s="187">
        <f t="shared" si="2"/>
        <v>0</v>
      </c>
      <c r="AX18" s="187">
        <f t="shared" si="2"/>
        <v>0</v>
      </c>
      <c r="AY18" s="187">
        <f t="shared" si="2"/>
        <v>0</v>
      </c>
      <c r="AZ18" s="187">
        <f t="shared" si="2"/>
        <v>0</v>
      </c>
      <c r="BA18" s="187">
        <f t="shared" si="2"/>
        <v>11.82594441127852</v>
      </c>
      <c r="BB18" s="187">
        <f t="shared" si="2"/>
        <v>0</v>
      </c>
      <c r="BC18" s="187">
        <f t="shared" si="2"/>
        <v>0</v>
      </c>
      <c r="BD18" s="187">
        <f t="shared" si="2"/>
        <v>1.5659999999999998</v>
      </c>
      <c r="BE18" s="187">
        <f t="shared" si="2"/>
        <v>0</v>
      </c>
      <c r="BF18" s="321">
        <f t="shared" si="2"/>
        <v>171</v>
      </c>
      <c r="BG18" s="321">
        <f t="shared" si="2"/>
        <v>1</v>
      </c>
      <c r="BH18" s="187">
        <f t="shared" si="2"/>
        <v>0</v>
      </c>
      <c r="BI18" s="187">
        <f t="shared" si="2"/>
        <v>0</v>
      </c>
      <c r="BJ18" s="187">
        <f t="shared" si="2"/>
        <v>0</v>
      </c>
      <c r="BK18" s="187">
        <f t="shared" si="2"/>
        <v>0</v>
      </c>
      <c r="BL18" s="187">
        <f t="shared" si="2"/>
        <v>0</v>
      </c>
      <c r="BM18" s="187">
        <f t="shared" si="2"/>
        <v>0</v>
      </c>
      <c r="BN18" s="187">
        <f t="shared" si="2"/>
        <v>0</v>
      </c>
      <c r="BO18" s="187">
        <f t="shared" si="2"/>
        <v>0</v>
      </c>
      <c r="BP18" s="187">
        <f t="shared" si="2"/>
        <v>0</v>
      </c>
      <c r="BQ18" s="187">
        <f t="shared" ref="BQ18:DL18" si="3">BQ38+BQ73</f>
        <v>17.754960883375936</v>
      </c>
      <c r="BR18" s="187">
        <f t="shared" si="3"/>
        <v>0</v>
      </c>
      <c r="BS18" s="187">
        <f t="shared" si="3"/>
        <v>0</v>
      </c>
      <c r="BT18" s="187">
        <f t="shared" si="3"/>
        <v>2.0659999999999998</v>
      </c>
      <c r="BU18" s="187">
        <f t="shared" si="3"/>
        <v>0.66</v>
      </c>
      <c r="BV18" s="321">
        <f t="shared" si="3"/>
        <v>201</v>
      </c>
      <c r="BW18" s="321">
        <f t="shared" si="3"/>
        <v>1</v>
      </c>
      <c r="BX18" s="187">
        <f t="shared" si="3"/>
        <v>0</v>
      </c>
      <c r="BY18" s="187">
        <f t="shared" si="3"/>
        <v>0</v>
      </c>
      <c r="BZ18" s="187">
        <f t="shared" si="3"/>
        <v>0</v>
      </c>
      <c r="CA18" s="187">
        <f t="shared" si="3"/>
        <v>0</v>
      </c>
      <c r="CB18" s="187">
        <f t="shared" si="3"/>
        <v>0</v>
      </c>
      <c r="CC18" s="187">
        <f t="shared" si="3"/>
        <v>0</v>
      </c>
      <c r="CD18" s="187">
        <f t="shared" si="3"/>
        <v>0</v>
      </c>
      <c r="CE18" s="187">
        <f t="shared" si="3"/>
        <v>0</v>
      </c>
      <c r="CF18" s="187">
        <f t="shared" si="3"/>
        <v>0</v>
      </c>
      <c r="CG18" s="187">
        <f t="shared" si="3"/>
        <v>16.122194799396958</v>
      </c>
      <c r="CH18" s="187">
        <f t="shared" si="3"/>
        <v>0</v>
      </c>
      <c r="CI18" s="187">
        <f t="shared" si="3"/>
        <v>0</v>
      </c>
      <c r="CJ18" s="187">
        <f t="shared" si="3"/>
        <v>0</v>
      </c>
      <c r="CK18" s="187">
        <f t="shared" si="3"/>
        <v>0</v>
      </c>
      <c r="CL18" s="321">
        <f t="shared" si="3"/>
        <v>213</v>
      </c>
      <c r="CM18" s="321">
        <f t="shared" si="3"/>
        <v>0</v>
      </c>
      <c r="CN18" s="187">
        <f t="shared" si="3"/>
        <v>0</v>
      </c>
      <c r="CO18" s="187">
        <f t="shared" si="3"/>
        <v>0</v>
      </c>
      <c r="CP18" s="187">
        <f t="shared" si="3"/>
        <v>0</v>
      </c>
      <c r="CQ18" s="187">
        <f t="shared" si="3"/>
        <v>0</v>
      </c>
      <c r="CR18" s="187">
        <f t="shared" si="3"/>
        <v>0</v>
      </c>
      <c r="CS18" s="187">
        <f t="shared" si="3"/>
        <v>0</v>
      </c>
      <c r="CT18" s="187">
        <f t="shared" si="3"/>
        <v>0</v>
      </c>
      <c r="CU18" s="187">
        <f t="shared" si="3"/>
        <v>0</v>
      </c>
      <c r="CV18" s="187">
        <f t="shared" si="3"/>
        <v>0</v>
      </c>
      <c r="CW18" s="187">
        <f t="shared" si="3"/>
        <v>66.641730901578086</v>
      </c>
      <c r="CX18" s="187">
        <f t="shared" si="3"/>
        <v>0</v>
      </c>
      <c r="CY18" s="187">
        <f t="shared" si="3"/>
        <v>0</v>
      </c>
      <c r="CZ18" s="187">
        <f t="shared" si="3"/>
        <v>7.5819999999999999</v>
      </c>
      <c r="DA18" s="187">
        <f t="shared" si="3"/>
        <v>7.3100000000000005</v>
      </c>
      <c r="DB18" s="321">
        <f t="shared" si="3"/>
        <v>1219</v>
      </c>
      <c r="DC18" s="321">
        <f t="shared" si="3"/>
        <v>2</v>
      </c>
      <c r="DD18" s="187">
        <f t="shared" si="3"/>
        <v>0</v>
      </c>
      <c r="DE18" s="187">
        <f t="shared" si="3"/>
        <v>0</v>
      </c>
      <c r="DF18" s="187">
        <f t="shared" si="3"/>
        <v>0</v>
      </c>
      <c r="DG18" s="187">
        <f t="shared" si="3"/>
        <v>0</v>
      </c>
      <c r="DH18" s="187">
        <f t="shared" si="3"/>
        <v>0</v>
      </c>
      <c r="DI18" s="187">
        <f t="shared" si="3"/>
        <v>0</v>
      </c>
      <c r="DJ18" s="187">
        <f t="shared" si="3"/>
        <v>0</v>
      </c>
      <c r="DK18" s="187">
        <f t="shared" si="3"/>
        <v>0</v>
      </c>
      <c r="DL18" s="187">
        <f t="shared" si="3"/>
        <v>0</v>
      </c>
    </row>
    <row r="19" spans="1:116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DC19" si="4">E36</f>
        <v>0</v>
      </c>
      <c r="F19" s="184">
        <f t="shared" si="4"/>
        <v>0</v>
      </c>
      <c r="G19" s="184">
        <f t="shared" si="4"/>
        <v>0</v>
      </c>
      <c r="H19" s="184">
        <f t="shared" si="4"/>
        <v>0</v>
      </c>
      <c r="I19" s="184">
        <f t="shared" si="4"/>
        <v>0</v>
      </c>
      <c r="J19" s="184">
        <f t="shared" si="4"/>
        <v>0</v>
      </c>
      <c r="K19" s="184">
        <f t="shared" si="4"/>
        <v>0</v>
      </c>
      <c r="L19" s="184">
        <f t="shared" si="4"/>
        <v>0</v>
      </c>
      <c r="M19" s="184">
        <f t="shared" si="4"/>
        <v>0</v>
      </c>
      <c r="N19" s="184">
        <f t="shared" si="4"/>
        <v>0</v>
      </c>
      <c r="O19" s="184">
        <f t="shared" si="4"/>
        <v>0</v>
      </c>
      <c r="P19" s="184">
        <f t="shared" si="4"/>
        <v>0</v>
      </c>
      <c r="Q19" s="184">
        <f t="shared" si="4"/>
        <v>0</v>
      </c>
      <c r="R19" s="184">
        <f t="shared" si="4"/>
        <v>0</v>
      </c>
      <c r="S19" s="184">
        <f t="shared" si="4"/>
        <v>0</v>
      </c>
      <c r="T19" s="184">
        <f t="shared" si="4"/>
        <v>0</v>
      </c>
      <c r="U19" s="184">
        <f t="shared" si="4"/>
        <v>0</v>
      </c>
      <c r="V19" s="184">
        <f t="shared" si="4"/>
        <v>0</v>
      </c>
      <c r="W19" s="184">
        <f t="shared" si="4"/>
        <v>0</v>
      </c>
      <c r="X19" s="184">
        <f t="shared" si="4"/>
        <v>0</v>
      </c>
      <c r="Y19" s="184">
        <f t="shared" si="4"/>
        <v>0</v>
      </c>
      <c r="Z19" s="184"/>
      <c r="AA19" s="184">
        <f t="shared" si="4"/>
        <v>0</v>
      </c>
      <c r="AB19" s="184">
        <f t="shared" si="4"/>
        <v>0</v>
      </c>
      <c r="AC19" s="184">
        <f t="shared" si="4"/>
        <v>0</v>
      </c>
      <c r="AD19" s="184">
        <f t="shared" si="4"/>
        <v>0</v>
      </c>
      <c r="AE19" s="184">
        <f t="shared" si="4"/>
        <v>0</v>
      </c>
      <c r="AF19" s="184">
        <f t="shared" si="4"/>
        <v>0</v>
      </c>
      <c r="AG19" s="184">
        <f t="shared" si="4"/>
        <v>0</v>
      </c>
      <c r="AH19" s="184"/>
      <c r="AI19" s="184">
        <f t="shared" si="4"/>
        <v>0</v>
      </c>
      <c r="AJ19" s="184">
        <f t="shared" si="4"/>
        <v>0</v>
      </c>
      <c r="AK19" s="184">
        <f t="shared" si="4"/>
        <v>0</v>
      </c>
      <c r="AL19" s="184">
        <f t="shared" si="4"/>
        <v>0</v>
      </c>
      <c r="AM19" s="184">
        <f t="shared" si="4"/>
        <v>0</v>
      </c>
      <c r="AN19" s="184">
        <f t="shared" si="4"/>
        <v>0</v>
      </c>
      <c r="AO19" s="184">
        <f t="shared" si="4"/>
        <v>0</v>
      </c>
      <c r="AP19" s="184"/>
      <c r="AQ19" s="184">
        <f t="shared" si="4"/>
        <v>0</v>
      </c>
      <c r="AR19" s="184">
        <f t="shared" si="4"/>
        <v>0</v>
      </c>
      <c r="AS19" s="184">
        <f t="shared" si="4"/>
        <v>0</v>
      </c>
      <c r="AT19" s="184">
        <f t="shared" si="4"/>
        <v>0</v>
      </c>
      <c r="AU19" s="184">
        <f t="shared" si="4"/>
        <v>0</v>
      </c>
      <c r="AV19" s="184">
        <f t="shared" si="4"/>
        <v>0</v>
      </c>
      <c r="AW19" s="184">
        <f t="shared" si="4"/>
        <v>0</v>
      </c>
      <c r="AX19" s="184"/>
      <c r="AY19" s="184">
        <f t="shared" si="4"/>
        <v>0</v>
      </c>
      <c r="AZ19" s="184">
        <f t="shared" si="4"/>
        <v>0</v>
      </c>
      <c r="BA19" s="184">
        <f t="shared" si="4"/>
        <v>0</v>
      </c>
      <c r="BB19" s="184">
        <f t="shared" si="4"/>
        <v>0</v>
      </c>
      <c r="BC19" s="184">
        <f t="shared" si="4"/>
        <v>0</v>
      </c>
      <c r="BD19" s="184">
        <f t="shared" si="4"/>
        <v>0</v>
      </c>
      <c r="BE19" s="184">
        <f t="shared" si="4"/>
        <v>0</v>
      </c>
      <c r="BF19" s="184"/>
      <c r="BG19" s="184">
        <f t="shared" si="4"/>
        <v>0</v>
      </c>
      <c r="BH19" s="184">
        <f t="shared" si="4"/>
        <v>0</v>
      </c>
      <c r="BI19" s="184">
        <f t="shared" si="4"/>
        <v>0</v>
      </c>
      <c r="BJ19" s="184">
        <f t="shared" si="4"/>
        <v>0</v>
      </c>
      <c r="BK19" s="184">
        <f t="shared" si="4"/>
        <v>0</v>
      </c>
      <c r="BL19" s="184">
        <f t="shared" si="4"/>
        <v>0</v>
      </c>
      <c r="BM19" s="184">
        <f t="shared" si="4"/>
        <v>0</v>
      </c>
      <c r="BN19" s="184"/>
      <c r="BO19" s="184">
        <f t="shared" si="4"/>
        <v>0</v>
      </c>
      <c r="BP19" s="184">
        <f t="shared" ref="BP19:BU19" si="5">BP36</f>
        <v>0</v>
      </c>
      <c r="BQ19" s="184">
        <f t="shared" si="5"/>
        <v>0</v>
      </c>
      <c r="BR19" s="184">
        <f t="shared" si="5"/>
        <v>0</v>
      </c>
      <c r="BS19" s="184">
        <f t="shared" si="5"/>
        <v>0</v>
      </c>
      <c r="BT19" s="184">
        <f t="shared" si="5"/>
        <v>0</v>
      </c>
      <c r="BU19" s="184">
        <f t="shared" si="5"/>
        <v>0</v>
      </c>
      <c r="BV19" s="184"/>
      <c r="BW19" s="184">
        <f t="shared" ref="BW19:CC19" si="6">BW36</f>
        <v>0</v>
      </c>
      <c r="BX19" s="184">
        <f t="shared" si="6"/>
        <v>0</v>
      </c>
      <c r="BY19" s="184">
        <f t="shared" si="6"/>
        <v>0</v>
      </c>
      <c r="BZ19" s="184">
        <f t="shared" si="6"/>
        <v>0</v>
      </c>
      <c r="CA19" s="184">
        <f t="shared" si="6"/>
        <v>0</v>
      </c>
      <c r="CB19" s="184">
        <f t="shared" si="6"/>
        <v>0</v>
      </c>
      <c r="CC19" s="184">
        <f t="shared" si="6"/>
        <v>0</v>
      </c>
      <c r="CD19" s="184"/>
      <c r="CE19" s="184">
        <f t="shared" ref="CE19" si="7">CE36</f>
        <v>0</v>
      </c>
      <c r="CF19" s="184">
        <f t="shared" si="4"/>
        <v>0</v>
      </c>
      <c r="CG19" s="184">
        <f t="shared" si="4"/>
        <v>0</v>
      </c>
      <c r="CH19" s="184">
        <f t="shared" si="4"/>
        <v>0</v>
      </c>
      <c r="CI19" s="184">
        <f t="shared" si="4"/>
        <v>0</v>
      </c>
      <c r="CJ19" s="184">
        <f t="shared" si="4"/>
        <v>0</v>
      </c>
      <c r="CK19" s="184">
        <f t="shared" si="4"/>
        <v>0</v>
      </c>
      <c r="CL19" s="184"/>
      <c r="CM19" s="184">
        <f t="shared" ref="CM19:CS19" si="8">CM36</f>
        <v>0</v>
      </c>
      <c r="CN19" s="184">
        <f t="shared" si="8"/>
        <v>0</v>
      </c>
      <c r="CO19" s="184">
        <f t="shared" si="8"/>
        <v>0</v>
      </c>
      <c r="CP19" s="184">
        <f t="shared" si="8"/>
        <v>0</v>
      </c>
      <c r="CQ19" s="184">
        <f t="shared" si="8"/>
        <v>0</v>
      </c>
      <c r="CR19" s="184">
        <f t="shared" si="8"/>
        <v>0</v>
      </c>
      <c r="CS19" s="184">
        <f t="shared" si="8"/>
        <v>0</v>
      </c>
      <c r="CT19" s="184"/>
      <c r="CU19" s="184">
        <f t="shared" ref="CU19" si="9">CU36</f>
        <v>0</v>
      </c>
      <c r="CV19" s="184">
        <f t="shared" si="4"/>
        <v>0</v>
      </c>
      <c r="CW19" s="184">
        <f t="shared" si="4"/>
        <v>0</v>
      </c>
      <c r="CX19" s="184">
        <f t="shared" si="4"/>
        <v>0</v>
      </c>
      <c r="CY19" s="184">
        <f t="shared" si="4"/>
        <v>0</v>
      </c>
      <c r="CZ19" s="184">
        <f t="shared" si="4"/>
        <v>0</v>
      </c>
      <c r="DA19" s="184">
        <f t="shared" si="4"/>
        <v>0</v>
      </c>
      <c r="DB19" s="184"/>
      <c r="DC19" s="184">
        <f t="shared" si="4"/>
        <v>0</v>
      </c>
      <c r="DD19" s="184">
        <f t="shared" ref="DD19:DK19" si="10">DD36</f>
        <v>0</v>
      </c>
      <c r="DE19" s="184">
        <f t="shared" si="10"/>
        <v>0</v>
      </c>
      <c r="DF19" s="184">
        <f t="shared" si="10"/>
        <v>0</v>
      </c>
      <c r="DG19" s="184">
        <f t="shared" si="10"/>
        <v>0</v>
      </c>
      <c r="DH19" s="184">
        <f t="shared" si="10"/>
        <v>0</v>
      </c>
      <c r="DI19" s="184">
        <f t="shared" si="10"/>
        <v>0</v>
      </c>
      <c r="DJ19" s="184"/>
      <c r="DK19" s="184">
        <f t="shared" si="10"/>
        <v>0</v>
      </c>
      <c r="DL19" s="184"/>
    </row>
    <row r="20" spans="1:116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</row>
    <row r="21" spans="1:116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</row>
    <row r="22" spans="1:116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</row>
    <row r="23" spans="1:116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</row>
    <row r="24" spans="1:116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</row>
    <row r="25" spans="1:116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</row>
    <row r="26" spans="1:116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</row>
    <row r="27" spans="1:116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</row>
    <row r="28" spans="1:116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</row>
    <row r="29" spans="1:116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</row>
    <row r="30" spans="1:116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</row>
    <row r="31" spans="1:116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</row>
    <row r="32" spans="1:116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</row>
    <row r="33" spans="1:116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</row>
    <row r="34" spans="1:116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</row>
    <row r="35" spans="1:116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</row>
    <row r="36" spans="1:116" s="196" customFormat="1" ht="63" collapsed="1" x14ac:dyDescent="0.25">
      <c r="A36" s="194" t="s">
        <v>39</v>
      </c>
      <c r="B36" s="65" t="s">
        <v>40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>
        <v>0</v>
      </c>
      <c r="X36" s="195">
        <v>0</v>
      </c>
      <c r="Y36" s="195">
        <v>0</v>
      </c>
      <c r="Z36" s="195">
        <v>0</v>
      </c>
      <c r="AA36" s="195">
        <v>0</v>
      </c>
      <c r="AB36" s="195">
        <v>0</v>
      </c>
      <c r="AC36" s="195">
        <v>0</v>
      </c>
      <c r="AD36" s="195">
        <v>0</v>
      </c>
      <c r="AE36" s="195">
        <v>0</v>
      </c>
      <c r="AF36" s="195">
        <v>0</v>
      </c>
      <c r="AG36" s="195">
        <v>0</v>
      </c>
      <c r="AH36" s="195">
        <v>0</v>
      </c>
      <c r="AI36" s="195">
        <v>0</v>
      </c>
      <c r="AJ36" s="195">
        <v>0</v>
      </c>
      <c r="AK36" s="195">
        <v>0</v>
      </c>
      <c r="AL36" s="195">
        <v>0</v>
      </c>
      <c r="AM36" s="195">
        <v>0</v>
      </c>
      <c r="AN36" s="195">
        <v>0</v>
      </c>
      <c r="AO36" s="195">
        <v>0</v>
      </c>
      <c r="AP36" s="195">
        <v>0</v>
      </c>
      <c r="AQ36" s="195">
        <v>0</v>
      </c>
      <c r="AR36" s="195">
        <v>0</v>
      </c>
      <c r="AS36" s="195">
        <v>0</v>
      </c>
      <c r="AT36" s="195">
        <v>0</v>
      </c>
      <c r="AU36" s="195">
        <v>0</v>
      </c>
      <c r="AV36" s="195">
        <v>0</v>
      </c>
      <c r="AW36" s="195">
        <v>0</v>
      </c>
      <c r="AX36" s="195">
        <v>0</v>
      </c>
      <c r="AY36" s="195">
        <v>0</v>
      </c>
      <c r="AZ36" s="195">
        <v>0</v>
      </c>
      <c r="BA36" s="195">
        <v>0</v>
      </c>
      <c r="BB36" s="195">
        <v>0</v>
      </c>
      <c r="BC36" s="195">
        <v>0</v>
      </c>
      <c r="BD36" s="195">
        <v>0</v>
      </c>
      <c r="BE36" s="195">
        <v>0</v>
      </c>
      <c r="BF36" s="195">
        <v>0</v>
      </c>
      <c r="BG36" s="195">
        <v>0</v>
      </c>
      <c r="BH36" s="195">
        <v>0</v>
      </c>
      <c r="BI36" s="195">
        <v>0</v>
      </c>
      <c r="BJ36" s="195">
        <v>0</v>
      </c>
      <c r="BK36" s="195">
        <v>0</v>
      </c>
      <c r="BL36" s="195">
        <v>0</v>
      </c>
      <c r="BM36" s="195">
        <v>0</v>
      </c>
      <c r="BN36" s="195">
        <v>0</v>
      </c>
      <c r="BO36" s="195">
        <v>0</v>
      </c>
      <c r="BP36" s="195">
        <v>0</v>
      </c>
      <c r="BQ36" s="195">
        <v>0</v>
      </c>
      <c r="BR36" s="195">
        <v>0</v>
      </c>
      <c r="BS36" s="195">
        <v>0</v>
      </c>
      <c r="BT36" s="195">
        <v>0</v>
      </c>
      <c r="BU36" s="195">
        <v>0</v>
      </c>
      <c r="BV36" s="195">
        <v>0</v>
      </c>
      <c r="BW36" s="195">
        <v>0</v>
      </c>
      <c r="BX36" s="195">
        <v>0</v>
      </c>
      <c r="BY36" s="195">
        <v>0</v>
      </c>
      <c r="BZ36" s="195">
        <v>0</v>
      </c>
      <c r="CA36" s="195">
        <v>0</v>
      </c>
      <c r="CB36" s="195">
        <v>0</v>
      </c>
      <c r="CC36" s="195">
        <v>0</v>
      </c>
      <c r="CD36" s="195">
        <v>0</v>
      </c>
      <c r="CE36" s="195">
        <v>0</v>
      </c>
      <c r="CF36" s="195">
        <v>0</v>
      </c>
      <c r="CG36" s="195">
        <v>0</v>
      </c>
      <c r="CH36" s="195">
        <v>0</v>
      </c>
      <c r="CI36" s="195">
        <v>0</v>
      </c>
      <c r="CJ36" s="195">
        <v>0</v>
      </c>
      <c r="CK36" s="195">
        <v>0</v>
      </c>
      <c r="CL36" s="195">
        <v>0</v>
      </c>
      <c r="CM36" s="195">
        <v>0</v>
      </c>
      <c r="CN36" s="195">
        <v>0</v>
      </c>
      <c r="CO36" s="195">
        <v>0</v>
      </c>
      <c r="CP36" s="195">
        <v>0</v>
      </c>
      <c r="CQ36" s="195">
        <v>0</v>
      </c>
      <c r="CR36" s="195">
        <v>0</v>
      </c>
      <c r="CS36" s="195">
        <v>0</v>
      </c>
      <c r="CT36" s="195">
        <v>0</v>
      </c>
      <c r="CU36" s="195">
        <v>0</v>
      </c>
      <c r="CV36" s="195">
        <v>0</v>
      </c>
      <c r="CW36" s="195">
        <v>0</v>
      </c>
      <c r="CX36" s="195">
        <v>0</v>
      </c>
      <c r="CY36" s="195">
        <v>0</v>
      </c>
      <c r="CZ36" s="195">
        <v>0</v>
      </c>
      <c r="DA36" s="195">
        <v>0</v>
      </c>
      <c r="DB36" s="195">
        <v>0</v>
      </c>
      <c r="DC36" s="195">
        <v>0</v>
      </c>
      <c r="DD36" s="195">
        <v>0</v>
      </c>
      <c r="DE36" s="195">
        <v>0</v>
      </c>
      <c r="DF36" s="195">
        <v>0</v>
      </c>
      <c r="DG36" s="195">
        <v>0</v>
      </c>
      <c r="DH36" s="195">
        <v>0</v>
      </c>
      <c r="DI36" s="195">
        <v>0</v>
      </c>
      <c r="DJ36" s="195">
        <v>0</v>
      </c>
      <c r="DK36" s="195">
        <v>0</v>
      </c>
      <c r="DL36" s="195">
        <v>0</v>
      </c>
    </row>
    <row r="37" spans="1:116" s="193" customFormat="1" ht="47.25" hidden="1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</row>
    <row r="38" spans="1:116" s="185" customFormat="1" ht="31.5" x14ac:dyDescent="0.25">
      <c r="A38" s="183" t="s">
        <v>42</v>
      </c>
      <c r="B38" s="64" t="s">
        <v>43</v>
      </c>
      <c r="C38" s="184">
        <v>0</v>
      </c>
      <c r="D38" s="184">
        <f>D39+D45+D52</f>
        <v>55.212799093373988</v>
      </c>
      <c r="E38" s="184">
        <f t="shared" ref="E38:BP38" si="11">E39+E45+E52</f>
        <v>0</v>
      </c>
      <c r="F38" s="184">
        <f t="shared" si="11"/>
        <v>0</v>
      </c>
      <c r="G38" s="184">
        <f t="shared" si="11"/>
        <v>0</v>
      </c>
      <c r="H38" s="184">
        <f t="shared" si="11"/>
        <v>0</v>
      </c>
      <c r="I38" s="184">
        <f t="shared" si="11"/>
        <v>0</v>
      </c>
      <c r="J38" s="184">
        <f t="shared" si="11"/>
        <v>0</v>
      </c>
      <c r="K38" s="184">
        <f t="shared" si="11"/>
        <v>0</v>
      </c>
      <c r="L38" s="184">
        <f t="shared" si="11"/>
        <v>0</v>
      </c>
      <c r="M38" s="184">
        <f t="shared" si="11"/>
        <v>0</v>
      </c>
      <c r="N38" s="184">
        <f t="shared" si="11"/>
        <v>0</v>
      </c>
      <c r="O38" s="184">
        <f t="shared" si="11"/>
        <v>0</v>
      </c>
      <c r="P38" s="184">
        <f t="shared" si="11"/>
        <v>0</v>
      </c>
      <c r="Q38" s="184">
        <f t="shared" si="11"/>
        <v>0</v>
      </c>
      <c r="R38" s="184">
        <f t="shared" si="11"/>
        <v>0</v>
      </c>
      <c r="S38" s="184">
        <f t="shared" si="11"/>
        <v>0</v>
      </c>
      <c r="T38" s="184">
        <f t="shared" si="11"/>
        <v>0</v>
      </c>
      <c r="U38" s="184">
        <f t="shared" si="11"/>
        <v>8.1018356066666684</v>
      </c>
      <c r="V38" s="184">
        <f t="shared" si="11"/>
        <v>0</v>
      </c>
      <c r="W38" s="184">
        <f t="shared" si="11"/>
        <v>0</v>
      </c>
      <c r="X38" s="184">
        <f t="shared" si="11"/>
        <v>0</v>
      </c>
      <c r="Y38" s="184">
        <f t="shared" si="11"/>
        <v>6.4</v>
      </c>
      <c r="Z38" s="320">
        <f t="shared" si="11"/>
        <v>347</v>
      </c>
      <c r="AA38" s="184">
        <f t="shared" si="11"/>
        <v>0</v>
      </c>
      <c r="AB38" s="184">
        <f t="shared" si="11"/>
        <v>0</v>
      </c>
      <c r="AC38" s="184">
        <f t="shared" si="11"/>
        <v>0</v>
      </c>
      <c r="AD38" s="184">
        <f t="shared" si="11"/>
        <v>0</v>
      </c>
      <c r="AE38" s="184">
        <f t="shared" si="11"/>
        <v>0</v>
      </c>
      <c r="AF38" s="184">
        <f t="shared" si="11"/>
        <v>0</v>
      </c>
      <c r="AG38" s="184">
        <f t="shared" si="11"/>
        <v>0</v>
      </c>
      <c r="AH38" s="184">
        <f t="shared" si="11"/>
        <v>0</v>
      </c>
      <c r="AI38" s="184">
        <f t="shared" si="11"/>
        <v>0</v>
      </c>
      <c r="AJ38" s="184">
        <f t="shared" si="11"/>
        <v>0</v>
      </c>
      <c r="AK38" s="184">
        <f t="shared" si="11"/>
        <v>12.836795200860001</v>
      </c>
      <c r="AL38" s="184">
        <f t="shared" si="11"/>
        <v>0</v>
      </c>
      <c r="AM38" s="184">
        <f t="shared" si="11"/>
        <v>0</v>
      </c>
      <c r="AN38" s="184">
        <f t="shared" si="11"/>
        <v>3.95</v>
      </c>
      <c r="AO38" s="184">
        <f t="shared" si="11"/>
        <v>0.25</v>
      </c>
      <c r="AP38" s="320">
        <f t="shared" si="11"/>
        <v>287</v>
      </c>
      <c r="AQ38" s="184">
        <f t="shared" si="11"/>
        <v>0</v>
      </c>
      <c r="AR38" s="184">
        <f t="shared" si="11"/>
        <v>0</v>
      </c>
      <c r="AS38" s="184">
        <f t="shared" si="11"/>
        <v>0</v>
      </c>
      <c r="AT38" s="184">
        <f t="shared" si="11"/>
        <v>0</v>
      </c>
      <c r="AU38" s="184">
        <f t="shared" si="11"/>
        <v>0</v>
      </c>
      <c r="AV38" s="184">
        <f t="shared" si="11"/>
        <v>0</v>
      </c>
      <c r="AW38" s="184">
        <f t="shared" si="11"/>
        <v>0</v>
      </c>
      <c r="AX38" s="184">
        <f t="shared" si="11"/>
        <v>0</v>
      </c>
      <c r="AY38" s="184">
        <f t="shared" si="11"/>
        <v>0</v>
      </c>
      <c r="AZ38" s="184">
        <f t="shared" si="11"/>
        <v>0</v>
      </c>
      <c r="BA38" s="184">
        <f t="shared" si="11"/>
        <v>5.5140174466435194</v>
      </c>
      <c r="BB38" s="184">
        <f t="shared" si="11"/>
        <v>0</v>
      </c>
      <c r="BC38" s="184">
        <f t="shared" si="11"/>
        <v>0</v>
      </c>
      <c r="BD38" s="184">
        <f t="shared" si="11"/>
        <v>1.5659999999999998</v>
      </c>
      <c r="BE38" s="184">
        <f t="shared" si="11"/>
        <v>0</v>
      </c>
      <c r="BF38" s="320">
        <f t="shared" si="11"/>
        <v>171</v>
      </c>
      <c r="BG38" s="184">
        <f t="shared" si="11"/>
        <v>0</v>
      </c>
      <c r="BH38" s="184">
        <f t="shared" si="11"/>
        <v>0</v>
      </c>
      <c r="BI38" s="184">
        <f t="shared" si="11"/>
        <v>0</v>
      </c>
      <c r="BJ38" s="184">
        <f t="shared" si="11"/>
        <v>0</v>
      </c>
      <c r="BK38" s="184">
        <f t="shared" si="11"/>
        <v>0</v>
      </c>
      <c r="BL38" s="184">
        <f t="shared" si="11"/>
        <v>0</v>
      </c>
      <c r="BM38" s="184">
        <f t="shared" si="11"/>
        <v>0</v>
      </c>
      <c r="BN38" s="184">
        <f t="shared" si="11"/>
        <v>0</v>
      </c>
      <c r="BO38" s="184">
        <f t="shared" si="11"/>
        <v>0</v>
      </c>
      <c r="BP38" s="184">
        <f t="shared" si="11"/>
        <v>0</v>
      </c>
      <c r="BQ38" s="184">
        <f t="shared" ref="BQ38:DL38" si="12">BQ39+BQ45+BQ52</f>
        <v>12.637956039806838</v>
      </c>
      <c r="BR38" s="184">
        <f t="shared" si="12"/>
        <v>0</v>
      </c>
      <c r="BS38" s="184">
        <f t="shared" si="12"/>
        <v>0</v>
      </c>
      <c r="BT38" s="184">
        <f t="shared" si="12"/>
        <v>2.0659999999999998</v>
      </c>
      <c r="BU38" s="184">
        <f t="shared" si="12"/>
        <v>0.66</v>
      </c>
      <c r="BV38" s="320">
        <f t="shared" si="12"/>
        <v>201</v>
      </c>
      <c r="BW38" s="184">
        <f t="shared" si="12"/>
        <v>0</v>
      </c>
      <c r="BX38" s="184">
        <f t="shared" si="12"/>
        <v>0</v>
      </c>
      <c r="BY38" s="184">
        <f t="shared" si="12"/>
        <v>0</v>
      </c>
      <c r="BZ38" s="184">
        <f t="shared" si="12"/>
        <v>0</v>
      </c>
      <c r="CA38" s="184">
        <f t="shared" si="12"/>
        <v>0</v>
      </c>
      <c r="CB38" s="184">
        <f t="shared" si="12"/>
        <v>0</v>
      </c>
      <c r="CC38" s="184">
        <f t="shared" si="12"/>
        <v>0</v>
      </c>
      <c r="CD38" s="184">
        <f t="shared" si="12"/>
        <v>0</v>
      </c>
      <c r="CE38" s="184">
        <f t="shared" si="12"/>
        <v>0</v>
      </c>
      <c r="CF38" s="184">
        <f t="shared" si="12"/>
        <v>0</v>
      </c>
      <c r="CG38" s="184">
        <f t="shared" si="12"/>
        <v>16.122194799396958</v>
      </c>
      <c r="CH38" s="184">
        <f t="shared" si="12"/>
        <v>0</v>
      </c>
      <c r="CI38" s="184">
        <f t="shared" si="12"/>
        <v>0</v>
      </c>
      <c r="CJ38" s="184">
        <f t="shared" si="12"/>
        <v>0</v>
      </c>
      <c r="CK38" s="184">
        <f t="shared" si="12"/>
        <v>0</v>
      </c>
      <c r="CL38" s="320">
        <f t="shared" si="12"/>
        <v>213</v>
      </c>
      <c r="CM38" s="184">
        <f t="shared" si="12"/>
        <v>0</v>
      </c>
      <c r="CN38" s="184">
        <f t="shared" si="12"/>
        <v>0</v>
      </c>
      <c r="CO38" s="184">
        <f t="shared" si="12"/>
        <v>0</v>
      </c>
      <c r="CP38" s="184">
        <f t="shared" si="12"/>
        <v>0</v>
      </c>
      <c r="CQ38" s="184">
        <f t="shared" si="12"/>
        <v>0</v>
      </c>
      <c r="CR38" s="184">
        <f t="shared" si="12"/>
        <v>0</v>
      </c>
      <c r="CS38" s="184">
        <f t="shared" si="12"/>
        <v>0</v>
      </c>
      <c r="CT38" s="184">
        <f t="shared" si="12"/>
        <v>0</v>
      </c>
      <c r="CU38" s="184">
        <f t="shared" si="12"/>
        <v>0</v>
      </c>
      <c r="CV38" s="184">
        <f t="shared" si="12"/>
        <v>0</v>
      </c>
      <c r="CW38" s="184">
        <f t="shared" si="12"/>
        <v>55.212799093373988</v>
      </c>
      <c r="CX38" s="184">
        <f t="shared" si="12"/>
        <v>0</v>
      </c>
      <c r="CY38" s="184">
        <f t="shared" si="12"/>
        <v>0</v>
      </c>
      <c r="CZ38" s="184">
        <f t="shared" si="12"/>
        <v>7.5819999999999999</v>
      </c>
      <c r="DA38" s="184">
        <f t="shared" si="12"/>
        <v>7.3100000000000005</v>
      </c>
      <c r="DB38" s="320">
        <f t="shared" si="12"/>
        <v>1219</v>
      </c>
      <c r="DC38" s="184">
        <f t="shared" si="12"/>
        <v>0</v>
      </c>
      <c r="DD38" s="184">
        <f t="shared" si="12"/>
        <v>0</v>
      </c>
      <c r="DE38" s="184">
        <f t="shared" si="12"/>
        <v>0</v>
      </c>
      <c r="DF38" s="184">
        <f t="shared" si="12"/>
        <v>0</v>
      </c>
      <c r="DG38" s="184">
        <f t="shared" si="12"/>
        <v>0</v>
      </c>
      <c r="DH38" s="184">
        <f t="shared" si="12"/>
        <v>0</v>
      </c>
      <c r="DI38" s="184">
        <f t="shared" si="12"/>
        <v>0</v>
      </c>
      <c r="DJ38" s="184">
        <f t="shared" si="12"/>
        <v>0</v>
      </c>
      <c r="DK38" s="184">
        <f t="shared" si="12"/>
        <v>0</v>
      </c>
      <c r="DL38" s="184">
        <f t="shared" si="12"/>
        <v>0</v>
      </c>
    </row>
    <row r="39" spans="1:116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17.166907131026726</v>
      </c>
      <c r="E39" s="195">
        <f t="shared" ref="E39:BP39" si="13">E40</f>
        <v>0</v>
      </c>
      <c r="F39" s="195">
        <f t="shared" si="13"/>
        <v>0</v>
      </c>
      <c r="G39" s="195">
        <f t="shared" si="13"/>
        <v>0</v>
      </c>
      <c r="H39" s="195">
        <f t="shared" si="13"/>
        <v>0</v>
      </c>
      <c r="I39" s="195">
        <f t="shared" si="13"/>
        <v>0</v>
      </c>
      <c r="J39" s="195">
        <f t="shared" si="13"/>
        <v>0</v>
      </c>
      <c r="K39" s="195">
        <f t="shared" si="13"/>
        <v>0</v>
      </c>
      <c r="L39" s="195">
        <f t="shared" si="13"/>
        <v>0</v>
      </c>
      <c r="M39" s="195">
        <f t="shared" si="13"/>
        <v>0</v>
      </c>
      <c r="N39" s="195">
        <f t="shared" si="13"/>
        <v>0</v>
      </c>
      <c r="O39" s="195">
        <f t="shared" si="13"/>
        <v>0</v>
      </c>
      <c r="P39" s="195">
        <f t="shared" si="13"/>
        <v>0</v>
      </c>
      <c r="Q39" s="195">
        <f t="shared" si="13"/>
        <v>0</v>
      </c>
      <c r="R39" s="195">
        <f t="shared" si="13"/>
        <v>0</v>
      </c>
      <c r="S39" s="195">
        <f t="shared" si="13"/>
        <v>0</v>
      </c>
      <c r="T39" s="195">
        <f t="shared" si="13"/>
        <v>0</v>
      </c>
      <c r="U39" s="195">
        <f t="shared" si="13"/>
        <v>0</v>
      </c>
      <c r="V39" s="195">
        <f t="shared" si="13"/>
        <v>0</v>
      </c>
      <c r="W39" s="195">
        <f t="shared" si="13"/>
        <v>0</v>
      </c>
      <c r="X39" s="195">
        <f t="shared" si="13"/>
        <v>0</v>
      </c>
      <c r="Y39" s="195">
        <f t="shared" si="13"/>
        <v>6.4</v>
      </c>
      <c r="Z39" s="195">
        <f t="shared" si="13"/>
        <v>0</v>
      </c>
      <c r="AA39" s="195">
        <f t="shared" si="13"/>
        <v>0</v>
      </c>
      <c r="AB39" s="195">
        <f t="shared" si="13"/>
        <v>0</v>
      </c>
      <c r="AC39" s="195">
        <f t="shared" si="13"/>
        <v>0</v>
      </c>
      <c r="AD39" s="195">
        <f t="shared" si="13"/>
        <v>0</v>
      </c>
      <c r="AE39" s="195">
        <f t="shared" si="13"/>
        <v>0</v>
      </c>
      <c r="AF39" s="195">
        <f t="shared" si="13"/>
        <v>0</v>
      </c>
      <c r="AG39" s="195">
        <f t="shared" si="13"/>
        <v>0</v>
      </c>
      <c r="AH39" s="195">
        <f t="shared" si="13"/>
        <v>0</v>
      </c>
      <c r="AI39" s="195">
        <f t="shared" si="13"/>
        <v>0</v>
      </c>
      <c r="AJ39" s="195">
        <f t="shared" si="13"/>
        <v>0</v>
      </c>
      <c r="AK39" s="195">
        <f t="shared" si="13"/>
        <v>0</v>
      </c>
      <c r="AL39" s="195">
        <f t="shared" si="13"/>
        <v>0</v>
      </c>
      <c r="AM39" s="195">
        <f t="shared" si="13"/>
        <v>0</v>
      </c>
      <c r="AN39" s="195">
        <f t="shared" si="13"/>
        <v>0</v>
      </c>
      <c r="AO39" s="195">
        <f t="shared" si="13"/>
        <v>0</v>
      </c>
      <c r="AP39" s="195">
        <f t="shared" si="13"/>
        <v>0</v>
      </c>
      <c r="AQ39" s="195">
        <f t="shared" si="13"/>
        <v>0</v>
      </c>
      <c r="AR39" s="195">
        <f t="shared" si="13"/>
        <v>0</v>
      </c>
      <c r="AS39" s="195">
        <f t="shared" si="13"/>
        <v>0</v>
      </c>
      <c r="AT39" s="195">
        <f t="shared" si="13"/>
        <v>0</v>
      </c>
      <c r="AU39" s="195">
        <f t="shared" si="13"/>
        <v>0</v>
      </c>
      <c r="AV39" s="195">
        <f t="shared" si="13"/>
        <v>0</v>
      </c>
      <c r="AW39" s="195">
        <f t="shared" si="13"/>
        <v>0</v>
      </c>
      <c r="AX39" s="195">
        <f t="shared" si="13"/>
        <v>0</v>
      </c>
      <c r="AY39" s="195">
        <f t="shared" si="13"/>
        <v>0</v>
      </c>
      <c r="AZ39" s="195">
        <f t="shared" si="13"/>
        <v>0</v>
      </c>
      <c r="BA39" s="195">
        <f t="shared" si="13"/>
        <v>0</v>
      </c>
      <c r="BB39" s="195">
        <f t="shared" si="13"/>
        <v>0</v>
      </c>
      <c r="BC39" s="195">
        <f t="shared" si="13"/>
        <v>0</v>
      </c>
      <c r="BD39" s="195">
        <f t="shared" si="13"/>
        <v>0</v>
      </c>
      <c r="BE39" s="195">
        <f t="shared" si="13"/>
        <v>0</v>
      </c>
      <c r="BF39" s="195">
        <f t="shared" si="13"/>
        <v>0</v>
      </c>
      <c r="BG39" s="195">
        <f t="shared" si="13"/>
        <v>0</v>
      </c>
      <c r="BH39" s="195">
        <f t="shared" si="13"/>
        <v>0</v>
      </c>
      <c r="BI39" s="195">
        <f t="shared" si="13"/>
        <v>0</v>
      </c>
      <c r="BJ39" s="195">
        <f t="shared" si="13"/>
        <v>0</v>
      </c>
      <c r="BK39" s="195">
        <f t="shared" si="13"/>
        <v>0</v>
      </c>
      <c r="BL39" s="195">
        <f t="shared" si="13"/>
        <v>0</v>
      </c>
      <c r="BM39" s="195">
        <f t="shared" si="13"/>
        <v>0</v>
      </c>
      <c r="BN39" s="195">
        <f t="shared" si="13"/>
        <v>0</v>
      </c>
      <c r="BO39" s="195">
        <f t="shared" si="13"/>
        <v>0</v>
      </c>
      <c r="BP39" s="195">
        <f t="shared" si="13"/>
        <v>0</v>
      </c>
      <c r="BQ39" s="195">
        <f t="shared" ref="BQ39:DL39" si="14">BQ40</f>
        <v>6.1935780880810345</v>
      </c>
      <c r="BR39" s="195">
        <f t="shared" si="14"/>
        <v>0</v>
      </c>
      <c r="BS39" s="195">
        <f t="shared" si="14"/>
        <v>0</v>
      </c>
      <c r="BT39" s="195">
        <f t="shared" si="14"/>
        <v>0</v>
      </c>
      <c r="BU39" s="195">
        <f t="shared" si="14"/>
        <v>0.5</v>
      </c>
      <c r="BV39" s="195">
        <f t="shared" si="14"/>
        <v>0</v>
      </c>
      <c r="BW39" s="195">
        <f t="shared" si="14"/>
        <v>0</v>
      </c>
      <c r="BX39" s="195">
        <f t="shared" si="14"/>
        <v>0</v>
      </c>
      <c r="BY39" s="195">
        <f t="shared" si="14"/>
        <v>0</v>
      </c>
      <c r="BZ39" s="195">
        <f t="shared" si="14"/>
        <v>0</v>
      </c>
      <c r="CA39" s="195">
        <f t="shared" si="14"/>
        <v>0</v>
      </c>
      <c r="CB39" s="195">
        <f t="shared" si="14"/>
        <v>0</v>
      </c>
      <c r="CC39" s="195">
        <f t="shared" si="14"/>
        <v>0</v>
      </c>
      <c r="CD39" s="195">
        <f t="shared" si="14"/>
        <v>0</v>
      </c>
      <c r="CE39" s="195">
        <f t="shared" si="14"/>
        <v>0</v>
      </c>
      <c r="CF39" s="195">
        <f t="shared" si="14"/>
        <v>0</v>
      </c>
      <c r="CG39" s="195">
        <f t="shared" si="14"/>
        <v>10.973329042945689</v>
      </c>
      <c r="CH39" s="195">
        <f t="shared" si="14"/>
        <v>0</v>
      </c>
      <c r="CI39" s="195">
        <f t="shared" si="14"/>
        <v>0</v>
      </c>
      <c r="CJ39" s="195">
        <f t="shared" si="14"/>
        <v>0</v>
      </c>
      <c r="CK39" s="195">
        <f t="shared" si="14"/>
        <v>0</v>
      </c>
      <c r="CL39" s="195">
        <f t="shared" si="14"/>
        <v>0</v>
      </c>
      <c r="CM39" s="195">
        <f t="shared" si="14"/>
        <v>0</v>
      </c>
      <c r="CN39" s="195">
        <f t="shared" si="14"/>
        <v>0</v>
      </c>
      <c r="CO39" s="195">
        <f t="shared" si="14"/>
        <v>0</v>
      </c>
      <c r="CP39" s="195">
        <f t="shared" si="14"/>
        <v>0</v>
      </c>
      <c r="CQ39" s="195">
        <f t="shared" si="14"/>
        <v>0</v>
      </c>
      <c r="CR39" s="195">
        <f t="shared" si="14"/>
        <v>0</v>
      </c>
      <c r="CS39" s="195">
        <f t="shared" si="14"/>
        <v>0</v>
      </c>
      <c r="CT39" s="195">
        <f t="shared" si="14"/>
        <v>0</v>
      </c>
      <c r="CU39" s="195">
        <f t="shared" si="14"/>
        <v>0</v>
      </c>
      <c r="CV39" s="195">
        <f t="shared" si="14"/>
        <v>0</v>
      </c>
      <c r="CW39" s="195">
        <f t="shared" si="14"/>
        <v>17.166907131026726</v>
      </c>
      <c r="CX39" s="195">
        <f t="shared" si="14"/>
        <v>0</v>
      </c>
      <c r="CY39" s="195">
        <f t="shared" si="14"/>
        <v>0</v>
      </c>
      <c r="CZ39" s="195">
        <f t="shared" si="14"/>
        <v>0</v>
      </c>
      <c r="DA39" s="195">
        <f t="shared" si="14"/>
        <v>6.9</v>
      </c>
      <c r="DB39" s="195">
        <f t="shared" si="14"/>
        <v>0</v>
      </c>
      <c r="DC39" s="195">
        <f t="shared" si="14"/>
        <v>0</v>
      </c>
      <c r="DD39" s="195">
        <f t="shared" si="14"/>
        <v>0</v>
      </c>
      <c r="DE39" s="195">
        <f t="shared" si="14"/>
        <v>0</v>
      </c>
      <c r="DF39" s="195">
        <f t="shared" si="14"/>
        <v>0</v>
      </c>
      <c r="DG39" s="195">
        <f t="shared" si="14"/>
        <v>0</v>
      </c>
      <c r="DH39" s="195">
        <f t="shared" si="14"/>
        <v>0</v>
      </c>
      <c r="DI39" s="195">
        <f t="shared" si="14"/>
        <v>0</v>
      </c>
      <c r="DJ39" s="195">
        <f t="shared" si="14"/>
        <v>0</v>
      </c>
      <c r="DK39" s="195">
        <f t="shared" si="14"/>
        <v>0</v>
      </c>
      <c r="DL39" s="195">
        <f t="shared" si="14"/>
        <v>0</v>
      </c>
    </row>
    <row r="40" spans="1:116" s="200" customFormat="1" ht="31.5" x14ac:dyDescent="0.25">
      <c r="A40" s="197" t="s">
        <v>44</v>
      </c>
      <c r="B40" s="11" t="s">
        <v>45</v>
      </c>
      <c r="C40" s="198">
        <v>0</v>
      </c>
      <c r="D40" s="198">
        <f>SUM(D41:D43)</f>
        <v>17.166907131026726</v>
      </c>
      <c r="E40" s="198">
        <f t="shared" ref="E40:BP40" si="15">SUM(E41:E43)</f>
        <v>0</v>
      </c>
      <c r="F40" s="198">
        <f t="shared" si="15"/>
        <v>0</v>
      </c>
      <c r="G40" s="198">
        <f t="shared" si="15"/>
        <v>0</v>
      </c>
      <c r="H40" s="198">
        <f t="shared" si="15"/>
        <v>0</v>
      </c>
      <c r="I40" s="198">
        <f t="shared" si="15"/>
        <v>0</v>
      </c>
      <c r="J40" s="198">
        <f t="shared" si="15"/>
        <v>0</v>
      </c>
      <c r="K40" s="198">
        <f t="shared" si="15"/>
        <v>0</v>
      </c>
      <c r="L40" s="198">
        <f t="shared" si="15"/>
        <v>0</v>
      </c>
      <c r="M40" s="198">
        <f t="shared" si="15"/>
        <v>0</v>
      </c>
      <c r="N40" s="198">
        <f t="shared" si="15"/>
        <v>0</v>
      </c>
      <c r="O40" s="198">
        <f t="shared" si="15"/>
        <v>0</v>
      </c>
      <c r="P40" s="198">
        <f t="shared" si="15"/>
        <v>0</v>
      </c>
      <c r="Q40" s="198">
        <f t="shared" si="15"/>
        <v>0</v>
      </c>
      <c r="R40" s="198">
        <f t="shared" si="15"/>
        <v>0</v>
      </c>
      <c r="S40" s="198">
        <f t="shared" si="15"/>
        <v>0</v>
      </c>
      <c r="T40" s="198">
        <f t="shared" si="15"/>
        <v>0</v>
      </c>
      <c r="U40" s="198">
        <f t="shared" si="15"/>
        <v>0</v>
      </c>
      <c r="V40" s="198">
        <f t="shared" si="15"/>
        <v>0</v>
      </c>
      <c r="W40" s="198">
        <f t="shared" si="15"/>
        <v>0</v>
      </c>
      <c r="X40" s="198">
        <f t="shared" si="15"/>
        <v>0</v>
      </c>
      <c r="Y40" s="198">
        <f t="shared" si="15"/>
        <v>6.4</v>
      </c>
      <c r="Z40" s="198">
        <f t="shared" si="15"/>
        <v>0</v>
      </c>
      <c r="AA40" s="198">
        <f t="shared" si="15"/>
        <v>0</v>
      </c>
      <c r="AB40" s="198">
        <f t="shared" si="15"/>
        <v>0</v>
      </c>
      <c r="AC40" s="198">
        <f t="shared" si="15"/>
        <v>0</v>
      </c>
      <c r="AD40" s="198">
        <f t="shared" si="15"/>
        <v>0</v>
      </c>
      <c r="AE40" s="198">
        <f t="shared" si="15"/>
        <v>0</v>
      </c>
      <c r="AF40" s="198">
        <f t="shared" si="15"/>
        <v>0</v>
      </c>
      <c r="AG40" s="198">
        <f t="shared" si="15"/>
        <v>0</v>
      </c>
      <c r="AH40" s="198">
        <f t="shared" si="15"/>
        <v>0</v>
      </c>
      <c r="AI40" s="198">
        <f t="shared" si="15"/>
        <v>0</v>
      </c>
      <c r="AJ40" s="198">
        <f t="shared" si="15"/>
        <v>0</v>
      </c>
      <c r="AK40" s="198">
        <f t="shared" si="15"/>
        <v>0</v>
      </c>
      <c r="AL40" s="198">
        <f t="shared" si="15"/>
        <v>0</v>
      </c>
      <c r="AM40" s="198">
        <f t="shared" si="15"/>
        <v>0</v>
      </c>
      <c r="AN40" s="198">
        <f t="shared" si="15"/>
        <v>0</v>
      </c>
      <c r="AO40" s="198">
        <f t="shared" si="15"/>
        <v>0</v>
      </c>
      <c r="AP40" s="198">
        <f t="shared" si="15"/>
        <v>0</v>
      </c>
      <c r="AQ40" s="198">
        <f t="shared" si="15"/>
        <v>0</v>
      </c>
      <c r="AR40" s="198">
        <f t="shared" si="15"/>
        <v>0</v>
      </c>
      <c r="AS40" s="198">
        <f t="shared" si="15"/>
        <v>0</v>
      </c>
      <c r="AT40" s="198">
        <f t="shared" si="15"/>
        <v>0</v>
      </c>
      <c r="AU40" s="198">
        <f t="shared" si="15"/>
        <v>0</v>
      </c>
      <c r="AV40" s="198">
        <f t="shared" si="15"/>
        <v>0</v>
      </c>
      <c r="AW40" s="198">
        <f t="shared" si="15"/>
        <v>0</v>
      </c>
      <c r="AX40" s="198">
        <f t="shared" si="15"/>
        <v>0</v>
      </c>
      <c r="AY40" s="198">
        <f t="shared" si="15"/>
        <v>0</v>
      </c>
      <c r="AZ40" s="198">
        <f t="shared" si="15"/>
        <v>0</v>
      </c>
      <c r="BA40" s="198">
        <f t="shared" si="15"/>
        <v>0</v>
      </c>
      <c r="BB40" s="198">
        <f t="shared" si="15"/>
        <v>0</v>
      </c>
      <c r="BC40" s="198">
        <f t="shared" si="15"/>
        <v>0</v>
      </c>
      <c r="BD40" s="198">
        <f t="shared" si="15"/>
        <v>0</v>
      </c>
      <c r="BE40" s="198">
        <f t="shared" si="15"/>
        <v>0</v>
      </c>
      <c r="BF40" s="198">
        <f t="shared" si="15"/>
        <v>0</v>
      </c>
      <c r="BG40" s="198">
        <f t="shared" si="15"/>
        <v>0</v>
      </c>
      <c r="BH40" s="198">
        <f t="shared" si="15"/>
        <v>0</v>
      </c>
      <c r="BI40" s="198">
        <f t="shared" si="15"/>
        <v>0</v>
      </c>
      <c r="BJ40" s="198">
        <f t="shared" si="15"/>
        <v>0</v>
      </c>
      <c r="BK40" s="198">
        <f t="shared" si="15"/>
        <v>0</v>
      </c>
      <c r="BL40" s="198">
        <f t="shared" si="15"/>
        <v>0</v>
      </c>
      <c r="BM40" s="198">
        <f t="shared" si="15"/>
        <v>0</v>
      </c>
      <c r="BN40" s="198">
        <f t="shared" si="15"/>
        <v>0</v>
      </c>
      <c r="BO40" s="198">
        <f t="shared" si="15"/>
        <v>0</v>
      </c>
      <c r="BP40" s="198">
        <f t="shared" si="15"/>
        <v>0</v>
      </c>
      <c r="BQ40" s="198">
        <f t="shared" ref="BQ40:DL40" si="16">SUM(BQ41:BQ43)</f>
        <v>6.1935780880810345</v>
      </c>
      <c r="BR40" s="198">
        <f t="shared" si="16"/>
        <v>0</v>
      </c>
      <c r="BS40" s="198">
        <f t="shared" si="16"/>
        <v>0</v>
      </c>
      <c r="BT40" s="198">
        <f t="shared" si="16"/>
        <v>0</v>
      </c>
      <c r="BU40" s="198">
        <f t="shared" si="16"/>
        <v>0.5</v>
      </c>
      <c r="BV40" s="198">
        <f t="shared" si="16"/>
        <v>0</v>
      </c>
      <c r="BW40" s="198">
        <f t="shared" si="16"/>
        <v>0</v>
      </c>
      <c r="BX40" s="198">
        <f t="shared" si="16"/>
        <v>0</v>
      </c>
      <c r="BY40" s="198">
        <f t="shared" si="16"/>
        <v>0</v>
      </c>
      <c r="BZ40" s="198">
        <f t="shared" si="16"/>
        <v>0</v>
      </c>
      <c r="CA40" s="198">
        <f t="shared" si="16"/>
        <v>0</v>
      </c>
      <c r="CB40" s="198">
        <f t="shared" si="16"/>
        <v>0</v>
      </c>
      <c r="CC40" s="198">
        <f t="shared" si="16"/>
        <v>0</v>
      </c>
      <c r="CD40" s="198">
        <f t="shared" si="16"/>
        <v>0</v>
      </c>
      <c r="CE40" s="198">
        <f t="shared" si="16"/>
        <v>0</v>
      </c>
      <c r="CF40" s="198">
        <f t="shared" si="16"/>
        <v>0</v>
      </c>
      <c r="CG40" s="198">
        <f t="shared" si="16"/>
        <v>10.973329042945689</v>
      </c>
      <c r="CH40" s="198">
        <f t="shared" si="16"/>
        <v>0</v>
      </c>
      <c r="CI40" s="198">
        <f t="shared" si="16"/>
        <v>0</v>
      </c>
      <c r="CJ40" s="198">
        <f t="shared" si="16"/>
        <v>0</v>
      </c>
      <c r="CK40" s="198">
        <f t="shared" si="16"/>
        <v>0</v>
      </c>
      <c r="CL40" s="198">
        <f t="shared" si="16"/>
        <v>0</v>
      </c>
      <c r="CM40" s="198">
        <f t="shared" si="16"/>
        <v>0</v>
      </c>
      <c r="CN40" s="198">
        <f t="shared" si="16"/>
        <v>0</v>
      </c>
      <c r="CO40" s="198">
        <f t="shared" si="16"/>
        <v>0</v>
      </c>
      <c r="CP40" s="198">
        <f t="shared" si="16"/>
        <v>0</v>
      </c>
      <c r="CQ40" s="198">
        <f t="shared" si="16"/>
        <v>0</v>
      </c>
      <c r="CR40" s="198">
        <f t="shared" si="16"/>
        <v>0</v>
      </c>
      <c r="CS40" s="198">
        <f t="shared" si="16"/>
        <v>0</v>
      </c>
      <c r="CT40" s="198">
        <f t="shared" si="16"/>
        <v>0</v>
      </c>
      <c r="CU40" s="198">
        <f t="shared" si="16"/>
        <v>0</v>
      </c>
      <c r="CV40" s="198">
        <f t="shared" si="16"/>
        <v>0</v>
      </c>
      <c r="CW40" s="198">
        <f t="shared" si="16"/>
        <v>17.166907131026726</v>
      </c>
      <c r="CX40" s="198">
        <f t="shared" si="16"/>
        <v>0</v>
      </c>
      <c r="CY40" s="198">
        <f t="shared" si="16"/>
        <v>0</v>
      </c>
      <c r="CZ40" s="198">
        <f t="shared" si="16"/>
        <v>0</v>
      </c>
      <c r="DA40" s="198">
        <f t="shared" si="16"/>
        <v>6.9</v>
      </c>
      <c r="DB40" s="198">
        <f t="shared" si="16"/>
        <v>0</v>
      </c>
      <c r="DC40" s="198">
        <f t="shared" si="16"/>
        <v>0</v>
      </c>
      <c r="DD40" s="198">
        <f t="shared" si="16"/>
        <v>0</v>
      </c>
      <c r="DE40" s="198">
        <f t="shared" si="16"/>
        <v>0</v>
      </c>
      <c r="DF40" s="198">
        <f t="shared" si="16"/>
        <v>0</v>
      </c>
      <c r="DG40" s="198">
        <f t="shared" si="16"/>
        <v>0</v>
      </c>
      <c r="DH40" s="198">
        <f t="shared" si="16"/>
        <v>0</v>
      </c>
      <c r="DI40" s="198">
        <f t="shared" si="16"/>
        <v>0</v>
      </c>
      <c r="DJ40" s="198">
        <f t="shared" si="16"/>
        <v>0</v>
      </c>
      <c r="DK40" s="198">
        <f t="shared" si="16"/>
        <v>0</v>
      </c>
      <c r="DL40" s="198">
        <f t="shared" si="16"/>
        <v>0</v>
      </c>
    </row>
    <row r="41" spans="1:116" s="362" customFormat="1" x14ac:dyDescent="0.25">
      <c r="A41" s="14" t="s">
        <v>46</v>
      </c>
      <c r="B41" s="417" t="s">
        <v>735</v>
      </c>
      <c r="C41" s="390" t="s">
        <v>721</v>
      </c>
      <c r="D41" s="351">
        <f>Ф3!K39</f>
        <v>0</v>
      </c>
      <c r="E41" s="351">
        <f>Ф3!AN39</f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456">
        <v>0</v>
      </c>
      <c r="U41" s="456">
        <f>D41</f>
        <v>0</v>
      </c>
      <c r="V41" s="456">
        <v>0</v>
      </c>
      <c r="W41" s="456">
        <v>0</v>
      </c>
      <c r="X41" s="456">
        <v>0</v>
      </c>
      <c r="Y41" s="456">
        <v>6.4</v>
      </c>
      <c r="Z41" s="456"/>
      <c r="AA41" s="456">
        <v>0</v>
      </c>
      <c r="AB41" s="456">
        <v>0</v>
      </c>
      <c r="AC41" s="456"/>
      <c r="AD41" s="456">
        <v>0</v>
      </c>
      <c r="AE41" s="456">
        <v>0</v>
      </c>
      <c r="AF41" s="456">
        <v>0</v>
      </c>
      <c r="AG41" s="456">
        <v>0</v>
      </c>
      <c r="AH41" s="456"/>
      <c r="AI41" s="456">
        <v>0</v>
      </c>
      <c r="AJ41" s="351">
        <v>0</v>
      </c>
      <c r="AK41" s="351">
        <f>D41</f>
        <v>0</v>
      </c>
      <c r="AL41" s="351">
        <v>0</v>
      </c>
      <c r="AM41" s="351">
        <v>0</v>
      </c>
      <c r="AN41" s="351">
        <v>0</v>
      </c>
      <c r="AO41" s="351">
        <v>0</v>
      </c>
      <c r="AP41" s="351"/>
      <c r="AQ41" s="351">
        <v>0</v>
      </c>
      <c r="AR41" s="351">
        <v>0</v>
      </c>
      <c r="AS41" s="351">
        <f>E41</f>
        <v>0</v>
      </c>
      <c r="AT41" s="351">
        <v>0</v>
      </c>
      <c r="AU41" s="351">
        <v>0</v>
      </c>
      <c r="AV41" s="351">
        <v>0</v>
      </c>
      <c r="AW41" s="351">
        <v>0</v>
      </c>
      <c r="AX41" s="351"/>
      <c r="AY41" s="351">
        <v>0</v>
      </c>
      <c r="AZ41" s="351">
        <v>0</v>
      </c>
      <c r="BA41" s="351">
        <v>0</v>
      </c>
      <c r="BB41" s="351">
        <v>0</v>
      </c>
      <c r="BC41" s="351">
        <v>0</v>
      </c>
      <c r="BD41" s="351">
        <v>0</v>
      </c>
      <c r="BE41" s="351">
        <v>0</v>
      </c>
      <c r="BF41" s="351"/>
      <c r="BG41" s="351">
        <v>0</v>
      </c>
      <c r="BH41" s="351">
        <v>0</v>
      </c>
      <c r="BI41" s="351">
        <v>0</v>
      </c>
      <c r="BJ41" s="351">
        <v>0</v>
      </c>
      <c r="BK41" s="351">
        <v>0</v>
      </c>
      <c r="BL41" s="351">
        <v>0</v>
      </c>
      <c r="BM41" s="351">
        <v>0</v>
      </c>
      <c r="BN41" s="351"/>
      <c r="BO41" s="351">
        <v>0</v>
      </c>
      <c r="BP41" s="351">
        <v>0</v>
      </c>
      <c r="BQ41" s="351">
        <v>0</v>
      </c>
      <c r="BR41" s="351">
        <v>0</v>
      </c>
      <c r="BS41" s="351">
        <v>0</v>
      </c>
      <c r="BT41" s="351">
        <v>0</v>
      </c>
      <c r="BU41" s="351">
        <v>0</v>
      </c>
      <c r="BV41" s="351"/>
      <c r="BW41" s="351">
        <v>0</v>
      </c>
      <c r="BX41" s="351">
        <v>0</v>
      </c>
      <c r="BY41" s="351">
        <v>0</v>
      </c>
      <c r="BZ41" s="351">
        <v>0</v>
      </c>
      <c r="CA41" s="351">
        <v>0</v>
      </c>
      <c r="CB41" s="351">
        <v>0</v>
      </c>
      <c r="CC41" s="351">
        <v>0</v>
      </c>
      <c r="CD41" s="351"/>
      <c r="CE41" s="351">
        <v>0</v>
      </c>
      <c r="CF41" s="351">
        <v>0</v>
      </c>
      <c r="CG41" s="351">
        <v>0</v>
      </c>
      <c r="CH41" s="351">
        <v>0</v>
      </c>
      <c r="CI41" s="351">
        <v>0</v>
      </c>
      <c r="CJ41" s="351">
        <v>0</v>
      </c>
      <c r="CK41" s="351">
        <v>0</v>
      </c>
      <c r="CL41" s="351"/>
      <c r="CM41" s="351">
        <v>0</v>
      </c>
      <c r="CN41" s="351">
        <v>0</v>
      </c>
      <c r="CO41" s="351">
        <v>0</v>
      </c>
      <c r="CP41" s="351">
        <v>0</v>
      </c>
      <c r="CQ41" s="351">
        <v>0</v>
      </c>
      <c r="CR41" s="351">
        <v>0</v>
      </c>
      <c r="CS41" s="351">
        <v>0</v>
      </c>
      <c r="CT41" s="351"/>
      <c r="CU41" s="351">
        <v>0</v>
      </c>
      <c r="CV41" s="351">
        <v>0</v>
      </c>
      <c r="CW41" s="351">
        <f>U41+AK41+BA41+BQ41+CG41</f>
        <v>0</v>
      </c>
      <c r="CX41" s="351">
        <f>V41+AL41+BB41</f>
        <v>0</v>
      </c>
      <c r="CY41" s="351">
        <f>W41+AM41+BC41</f>
        <v>0</v>
      </c>
      <c r="CZ41" s="351">
        <f>X41+AN41+BD41</f>
        <v>0</v>
      </c>
      <c r="DA41" s="351">
        <f>Y41+AO41+BE41</f>
        <v>6.4</v>
      </c>
      <c r="DB41" s="351"/>
      <c r="DC41" s="351">
        <f>AA41+AQ41+BG41</f>
        <v>0</v>
      </c>
      <c r="DD41" s="351">
        <v>0</v>
      </c>
      <c r="DE41" s="351">
        <f t="shared" ref="DE41:DI42" si="17">AC41+AS41+BI41</f>
        <v>0</v>
      </c>
      <c r="DF41" s="351">
        <f t="shared" si="17"/>
        <v>0</v>
      </c>
      <c r="DG41" s="351">
        <f t="shared" si="17"/>
        <v>0</v>
      </c>
      <c r="DH41" s="351">
        <f t="shared" si="17"/>
        <v>0</v>
      </c>
      <c r="DI41" s="351">
        <f t="shared" si="17"/>
        <v>0</v>
      </c>
      <c r="DJ41" s="351"/>
      <c r="DK41" s="351">
        <f>AI41+AY41+BO41</f>
        <v>0</v>
      </c>
      <c r="DL41" s="351"/>
    </row>
    <row r="42" spans="1:116" s="395" customFormat="1" x14ac:dyDescent="0.25">
      <c r="A42" s="14" t="s">
        <v>527</v>
      </c>
      <c r="B42" s="419" t="s">
        <v>736</v>
      </c>
      <c r="C42" s="390" t="s">
        <v>722</v>
      </c>
      <c r="D42" s="351">
        <f>Ф3!K40</f>
        <v>6.1935780880810345</v>
      </c>
      <c r="E42" s="393">
        <f>Ф3!AN40</f>
        <v>0</v>
      </c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>
        <v>0</v>
      </c>
      <c r="V42" s="393"/>
      <c r="W42" s="393"/>
      <c r="X42" s="393"/>
      <c r="Y42" s="393"/>
      <c r="Z42" s="393"/>
      <c r="AA42" s="393"/>
      <c r="AB42" s="393"/>
      <c r="AC42" s="393">
        <v>0</v>
      </c>
      <c r="AD42" s="393"/>
      <c r="AE42" s="393"/>
      <c r="AF42" s="393"/>
      <c r="AG42" s="393"/>
      <c r="AH42" s="393"/>
      <c r="AI42" s="393"/>
      <c r="AJ42" s="393"/>
      <c r="AK42" s="351">
        <v>0</v>
      </c>
      <c r="AL42" s="393">
        <v>0</v>
      </c>
      <c r="AM42" s="393"/>
      <c r="AN42" s="393"/>
      <c r="AO42" s="393"/>
      <c r="AP42" s="393"/>
      <c r="AQ42" s="393"/>
      <c r="AR42" s="393"/>
      <c r="AS42" s="393">
        <f>Ф3!AN40</f>
        <v>0</v>
      </c>
      <c r="AT42" s="393">
        <v>0</v>
      </c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456"/>
      <c r="BQ42" s="456">
        <f>D42</f>
        <v>6.1935780880810345</v>
      </c>
      <c r="BR42" s="456"/>
      <c r="BS42" s="456"/>
      <c r="BT42" s="456"/>
      <c r="BU42" s="456">
        <v>0.5</v>
      </c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393"/>
      <c r="CG42" s="393"/>
      <c r="CH42" s="393"/>
      <c r="CI42" s="393"/>
      <c r="CJ42" s="393"/>
      <c r="CK42" s="393"/>
      <c r="CL42" s="393"/>
      <c r="CM42" s="393"/>
      <c r="CN42" s="393"/>
      <c r="CO42" s="393"/>
      <c r="CP42" s="393"/>
      <c r="CQ42" s="393"/>
      <c r="CR42" s="393"/>
      <c r="CS42" s="393"/>
      <c r="CT42" s="393"/>
      <c r="CU42" s="393"/>
      <c r="CV42" s="393"/>
      <c r="CW42" s="351">
        <f t="shared" ref="CW42:CW43" si="18">U42+AK42+BA42+BQ42+CG42</f>
        <v>6.1935780880810345</v>
      </c>
      <c r="CX42" s="393">
        <f>V42+AL42+BB42</f>
        <v>0</v>
      </c>
      <c r="CY42" s="393">
        <f>W42+AM42+BC42</f>
        <v>0</v>
      </c>
      <c r="CZ42" s="351">
        <f>X42+AN42+BD42+BT42+CJ42</f>
        <v>0</v>
      </c>
      <c r="DA42" s="351">
        <f t="shared" ref="DA42:DC42" si="19">Y42+AO42+BE42+BU42+CK42</f>
        <v>0.5</v>
      </c>
      <c r="DB42" s="351">
        <f t="shared" si="19"/>
        <v>0</v>
      </c>
      <c r="DC42" s="351">
        <f t="shared" si="19"/>
        <v>0</v>
      </c>
      <c r="DD42" s="393"/>
      <c r="DE42" s="393">
        <f t="shared" si="17"/>
        <v>0</v>
      </c>
      <c r="DF42" s="393">
        <f t="shared" si="17"/>
        <v>0</v>
      </c>
      <c r="DG42" s="393">
        <f t="shared" si="17"/>
        <v>0</v>
      </c>
      <c r="DH42" s="393">
        <f t="shared" si="17"/>
        <v>0</v>
      </c>
      <c r="DI42" s="393">
        <f t="shared" si="17"/>
        <v>0</v>
      </c>
      <c r="DJ42" s="393"/>
      <c r="DK42" s="393">
        <f>AI42+AY42+BO42</f>
        <v>0</v>
      </c>
      <c r="DL42" s="393"/>
    </row>
    <row r="43" spans="1:116" s="395" customFormat="1" x14ac:dyDescent="0.25">
      <c r="A43" s="14" t="s">
        <v>700</v>
      </c>
      <c r="B43" s="419" t="s">
        <v>737</v>
      </c>
      <c r="C43" s="390" t="s">
        <v>723</v>
      </c>
      <c r="D43" s="351">
        <f>Ф3!K41</f>
        <v>10.973329042945689</v>
      </c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51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3"/>
      <c r="BQ43" s="393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456"/>
      <c r="CG43" s="456">
        <f>D43</f>
        <v>10.973329042945689</v>
      </c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6"/>
      <c r="CV43" s="393"/>
      <c r="CW43" s="351">
        <f t="shared" si="18"/>
        <v>10.973329042945689</v>
      </c>
      <c r="CX43" s="393"/>
      <c r="CY43" s="393"/>
      <c r="CZ43" s="351">
        <f>X43+AN43+BD43+BT43+CJ43</f>
        <v>0</v>
      </c>
      <c r="DA43" s="351">
        <f t="shared" ref="DA43" si="20">Y43+AO43+BE43+BU43+CK43</f>
        <v>0</v>
      </c>
      <c r="DB43" s="351">
        <f t="shared" ref="DB43" si="21">Z43+AP43+BF43+BV43+CL43</f>
        <v>0</v>
      </c>
      <c r="DC43" s="351">
        <f t="shared" ref="DC43" si="22">AA43+AQ43+BG43+BW43+CM43</f>
        <v>0</v>
      </c>
      <c r="DD43" s="393"/>
      <c r="DE43" s="393"/>
      <c r="DF43" s="393"/>
      <c r="DG43" s="393"/>
      <c r="DH43" s="393"/>
      <c r="DI43" s="393"/>
      <c r="DJ43" s="393"/>
      <c r="DK43" s="393"/>
      <c r="DL43" s="393"/>
    </row>
    <row r="44" spans="1:116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</row>
    <row r="45" spans="1:116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10.463815910299223</v>
      </c>
      <c r="E45" s="195">
        <f t="shared" ref="E45:BP45" si="23">E46</f>
        <v>0</v>
      </c>
      <c r="F45" s="195">
        <f t="shared" si="23"/>
        <v>0</v>
      </c>
      <c r="G45" s="195">
        <f t="shared" si="23"/>
        <v>0</v>
      </c>
      <c r="H45" s="195">
        <f t="shared" si="23"/>
        <v>0</v>
      </c>
      <c r="I45" s="195">
        <f t="shared" si="23"/>
        <v>0</v>
      </c>
      <c r="J45" s="195">
        <f t="shared" si="23"/>
        <v>0</v>
      </c>
      <c r="K45" s="195">
        <f t="shared" si="23"/>
        <v>0</v>
      </c>
      <c r="L45" s="195">
        <f t="shared" si="23"/>
        <v>0</v>
      </c>
      <c r="M45" s="195">
        <f t="shared" si="23"/>
        <v>0</v>
      </c>
      <c r="N45" s="195">
        <f t="shared" si="23"/>
        <v>0</v>
      </c>
      <c r="O45" s="195">
        <f t="shared" si="23"/>
        <v>0</v>
      </c>
      <c r="P45" s="195">
        <f t="shared" si="23"/>
        <v>0</v>
      </c>
      <c r="Q45" s="195">
        <f t="shared" si="23"/>
        <v>0</v>
      </c>
      <c r="R45" s="195">
        <f t="shared" si="23"/>
        <v>0</v>
      </c>
      <c r="S45" s="195">
        <f t="shared" si="23"/>
        <v>0</v>
      </c>
      <c r="T45" s="195">
        <f t="shared" si="23"/>
        <v>0</v>
      </c>
      <c r="U45" s="195">
        <f t="shared" si="23"/>
        <v>0</v>
      </c>
      <c r="V45" s="195">
        <f t="shared" si="23"/>
        <v>0</v>
      </c>
      <c r="W45" s="195">
        <f t="shared" si="23"/>
        <v>0</v>
      </c>
      <c r="X45" s="195">
        <f t="shared" si="23"/>
        <v>0</v>
      </c>
      <c r="Y45" s="195">
        <f t="shared" si="23"/>
        <v>0</v>
      </c>
      <c r="Z45" s="195">
        <f t="shared" si="23"/>
        <v>0</v>
      </c>
      <c r="AA45" s="195">
        <f t="shared" si="23"/>
        <v>0</v>
      </c>
      <c r="AB45" s="195">
        <f t="shared" si="23"/>
        <v>0</v>
      </c>
      <c r="AC45" s="195">
        <f t="shared" si="23"/>
        <v>0</v>
      </c>
      <c r="AD45" s="195">
        <f t="shared" si="23"/>
        <v>0</v>
      </c>
      <c r="AE45" s="195">
        <f t="shared" si="23"/>
        <v>0</v>
      </c>
      <c r="AF45" s="195">
        <f t="shared" si="23"/>
        <v>0</v>
      </c>
      <c r="AG45" s="195">
        <f t="shared" si="23"/>
        <v>0</v>
      </c>
      <c r="AH45" s="195">
        <f t="shared" si="23"/>
        <v>0</v>
      </c>
      <c r="AI45" s="195">
        <f t="shared" si="23"/>
        <v>0</v>
      </c>
      <c r="AJ45" s="195">
        <f t="shared" si="23"/>
        <v>0</v>
      </c>
      <c r="AK45" s="195">
        <f t="shared" si="23"/>
        <v>6.8924035058200008</v>
      </c>
      <c r="AL45" s="195">
        <f t="shared" si="23"/>
        <v>0</v>
      </c>
      <c r="AM45" s="195">
        <f t="shared" si="23"/>
        <v>0</v>
      </c>
      <c r="AN45" s="195">
        <f t="shared" si="23"/>
        <v>3.95</v>
      </c>
      <c r="AO45" s="195">
        <f t="shared" si="23"/>
        <v>0.25</v>
      </c>
      <c r="AP45" s="195">
        <f t="shared" si="23"/>
        <v>0</v>
      </c>
      <c r="AQ45" s="195">
        <f t="shared" si="23"/>
        <v>0</v>
      </c>
      <c r="AR45" s="195">
        <f t="shared" si="23"/>
        <v>0</v>
      </c>
      <c r="AS45" s="195">
        <f t="shared" si="23"/>
        <v>0</v>
      </c>
      <c r="AT45" s="195">
        <f t="shared" si="23"/>
        <v>0</v>
      </c>
      <c r="AU45" s="195">
        <f t="shared" si="23"/>
        <v>0</v>
      </c>
      <c r="AV45" s="195">
        <f t="shared" si="23"/>
        <v>0</v>
      </c>
      <c r="AW45" s="195">
        <f t="shared" si="23"/>
        <v>0</v>
      </c>
      <c r="AX45" s="195">
        <f t="shared" si="23"/>
        <v>0</v>
      </c>
      <c r="AY45" s="195">
        <f t="shared" si="23"/>
        <v>0</v>
      </c>
      <c r="AZ45" s="195">
        <f t="shared" si="23"/>
        <v>0</v>
      </c>
      <c r="BA45" s="195">
        <f t="shared" si="23"/>
        <v>1.7328179360234399</v>
      </c>
      <c r="BB45" s="195">
        <f t="shared" si="23"/>
        <v>0</v>
      </c>
      <c r="BC45" s="195">
        <f t="shared" si="23"/>
        <v>0</v>
      </c>
      <c r="BD45" s="195">
        <f t="shared" si="23"/>
        <v>1.5659999999999998</v>
      </c>
      <c r="BE45" s="195">
        <f t="shared" si="23"/>
        <v>0</v>
      </c>
      <c r="BF45" s="195">
        <f t="shared" si="23"/>
        <v>0</v>
      </c>
      <c r="BG45" s="195">
        <f t="shared" si="23"/>
        <v>0</v>
      </c>
      <c r="BH45" s="195">
        <f t="shared" si="23"/>
        <v>0</v>
      </c>
      <c r="BI45" s="195">
        <f t="shared" si="23"/>
        <v>0</v>
      </c>
      <c r="BJ45" s="195">
        <f t="shared" si="23"/>
        <v>0</v>
      </c>
      <c r="BK45" s="195">
        <f t="shared" si="23"/>
        <v>0</v>
      </c>
      <c r="BL45" s="195">
        <f t="shared" si="23"/>
        <v>0</v>
      </c>
      <c r="BM45" s="195">
        <f t="shared" si="23"/>
        <v>0</v>
      </c>
      <c r="BN45" s="195">
        <f t="shared" si="23"/>
        <v>0</v>
      </c>
      <c r="BO45" s="195">
        <f t="shared" si="23"/>
        <v>0</v>
      </c>
      <c r="BP45" s="195">
        <f t="shared" si="23"/>
        <v>0</v>
      </c>
      <c r="BQ45" s="195">
        <f t="shared" ref="BQ45:DL45" si="24">BQ46</f>
        <v>1.8385944684557829</v>
      </c>
      <c r="BR45" s="195">
        <f t="shared" si="24"/>
        <v>0</v>
      </c>
      <c r="BS45" s="195">
        <f t="shared" si="24"/>
        <v>0</v>
      </c>
      <c r="BT45" s="195">
        <f t="shared" si="24"/>
        <v>2.0659999999999998</v>
      </c>
      <c r="BU45" s="195">
        <f t="shared" si="24"/>
        <v>0.16</v>
      </c>
      <c r="BV45" s="195">
        <f t="shared" si="24"/>
        <v>0</v>
      </c>
      <c r="BW45" s="195">
        <f t="shared" si="24"/>
        <v>0</v>
      </c>
      <c r="BX45" s="195">
        <f t="shared" si="24"/>
        <v>0</v>
      </c>
      <c r="BY45" s="195">
        <f t="shared" si="24"/>
        <v>0</v>
      </c>
      <c r="BZ45" s="195">
        <f t="shared" si="24"/>
        <v>0</v>
      </c>
      <c r="CA45" s="195">
        <f t="shared" si="24"/>
        <v>0</v>
      </c>
      <c r="CB45" s="195">
        <f t="shared" si="24"/>
        <v>0</v>
      </c>
      <c r="CC45" s="195">
        <f t="shared" si="24"/>
        <v>0</v>
      </c>
      <c r="CD45" s="195">
        <f t="shared" si="24"/>
        <v>0</v>
      </c>
      <c r="CE45" s="195">
        <f t="shared" si="24"/>
        <v>0</v>
      </c>
      <c r="CF45" s="195">
        <f t="shared" si="24"/>
        <v>0</v>
      </c>
      <c r="CG45" s="195">
        <f t="shared" si="24"/>
        <v>0</v>
      </c>
      <c r="CH45" s="195">
        <f t="shared" si="24"/>
        <v>0</v>
      </c>
      <c r="CI45" s="195">
        <f t="shared" si="24"/>
        <v>0</v>
      </c>
      <c r="CJ45" s="195">
        <f t="shared" si="24"/>
        <v>0</v>
      </c>
      <c r="CK45" s="195">
        <f t="shared" si="24"/>
        <v>0</v>
      </c>
      <c r="CL45" s="195">
        <f t="shared" si="24"/>
        <v>0</v>
      </c>
      <c r="CM45" s="195">
        <f t="shared" si="24"/>
        <v>0</v>
      </c>
      <c r="CN45" s="195">
        <f t="shared" si="24"/>
        <v>0</v>
      </c>
      <c r="CO45" s="195">
        <f t="shared" si="24"/>
        <v>0</v>
      </c>
      <c r="CP45" s="195">
        <f t="shared" si="24"/>
        <v>0</v>
      </c>
      <c r="CQ45" s="195">
        <f t="shared" si="24"/>
        <v>0</v>
      </c>
      <c r="CR45" s="195">
        <f t="shared" si="24"/>
        <v>0</v>
      </c>
      <c r="CS45" s="195">
        <f t="shared" si="24"/>
        <v>0</v>
      </c>
      <c r="CT45" s="195">
        <f t="shared" si="24"/>
        <v>0</v>
      </c>
      <c r="CU45" s="195">
        <f t="shared" si="24"/>
        <v>0</v>
      </c>
      <c r="CV45" s="195">
        <f t="shared" si="24"/>
        <v>0</v>
      </c>
      <c r="CW45" s="195">
        <f t="shared" si="24"/>
        <v>10.463815910299223</v>
      </c>
      <c r="CX45" s="195">
        <f t="shared" si="24"/>
        <v>0</v>
      </c>
      <c r="CY45" s="195">
        <f t="shared" si="24"/>
        <v>0</v>
      </c>
      <c r="CZ45" s="195">
        <f t="shared" si="24"/>
        <v>7.5819999999999999</v>
      </c>
      <c r="DA45" s="195">
        <f t="shared" si="24"/>
        <v>0.41000000000000003</v>
      </c>
      <c r="DB45" s="195">
        <f t="shared" si="24"/>
        <v>0</v>
      </c>
      <c r="DC45" s="195">
        <f t="shared" si="24"/>
        <v>0</v>
      </c>
      <c r="DD45" s="195">
        <f t="shared" si="24"/>
        <v>0</v>
      </c>
      <c r="DE45" s="195">
        <f t="shared" si="24"/>
        <v>0</v>
      </c>
      <c r="DF45" s="195">
        <f t="shared" si="24"/>
        <v>0</v>
      </c>
      <c r="DG45" s="195">
        <f t="shared" si="24"/>
        <v>0</v>
      </c>
      <c r="DH45" s="195">
        <f t="shared" si="24"/>
        <v>0</v>
      </c>
      <c r="DI45" s="195">
        <f t="shared" si="24"/>
        <v>0</v>
      </c>
      <c r="DJ45" s="195">
        <f t="shared" si="24"/>
        <v>0</v>
      </c>
      <c r="DK45" s="195">
        <f t="shared" si="24"/>
        <v>0</v>
      </c>
      <c r="DL45" s="195">
        <f t="shared" si="24"/>
        <v>0</v>
      </c>
    </row>
    <row r="46" spans="1:116" s="200" customFormat="1" x14ac:dyDescent="0.25">
      <c r="A46" s="197" t="s">
        <v>74</v>
      </c>
      <c r="B46" s="11" t="s">
        <v>75</v>
      </c>
      <c r="C46" s="198">
        <v>0</v>
      </c>
      <c r="D46" s="198">
        <f>SUM(D47:D50)</f>
        <v>10.463815910299223</v>
      </c>
      <c r="E46" s="198">
        <f t="shared" ref="E46:BP46" si="25">SUM(E47:E50)</f>
        <v>0</v>
      </c>
      <c r="F46" s="198">
        <f t="shared" si="25"/>
        <v>0</v>
      </c>
      <c r="G46" s="198">
        <f t="shared" si="25"/>
        <v>0</v>
      </c>
      <c r="H46" s="198">
        <f t="shared" si="25"/>
        <v>0</v>
      </c>
      <c r="I46" s="198">
        <f t="shared" si="25"/>
        <v>0</v>
      </c>
      <c r="J46" s="198">
        <f t="shared" si="25"/>
        <v>0</v>
      </c>
      <c r="K46" s="198">
        <f t="shared" si="25"/>
        <v>0</v>
      </c>
      <c r="L46" s="198">
        <f t="shared" si="25"/>
        <v>0</v>
      </c>
      <c r="M46" s="198">
        <f t="shared" si="25"/>
        <v>0</v>
      </c>
      <c r="N46" s="198">
        <f t="shared" si="25"/>
        <v>0</v>
      </c>
      <c r="O46" s="198">
        <f t="shared" si="25"/>
        <v>0</v>
      </c>
      <c r="P46" s="198">
        <f t="shared" si="25"/>
        <v>0</v>
      </c>
      <c r="Q46" s="198">
        <f t="shared" si="25"/>
        <v>0</v>
      </c>
      <c r="R46" s="198">
        <f t="shared" si="25"/>
        <v>0</v>
      </c>
      <c r="S46" s="198">
        <f t="shared" si="25"/>
        <v>0</v>
      </c>
      <c r="T46" s="198">
        <f t="shared" si="25"/>
        <v>0</v>
      </c>
      <c r="U46" s="198">
        <f t="shared" si="25"/>
        <v>0</v>
      </c>
      <c r="V46" s="198">
        <f t="shared" si="25"/>
        <v>0</v>
      </c>
      <c r="W46" s="198">
        <f t="shared" si="25"/>
        <v>0</v>
      </c>
      <c r="X46" s="198">
        <f t="shared" si="25"/>
        <v>0</v>
      </c>
      <c r="Y46" s="198">
        <f t="shared" si="25"/>
        <v>0</v>
      </c>
      <c r="Z46" s="198">
        <f t="shared" si="25"/>
        <v>0</v>
      </c>
      <c r="AA46" s="198">
        <f t="shared" si="25"/>
        <v>0</v>
      </c>
      <c r="AB46" s="198">
        <f t="shared" si="25"/>
        <v>0</v>
      </c>
      <c r="AC46" s="198">
        <f t="shared" si="25"/>
        <v>0</v>
      </c>
      <c r="AD46" s="198">
        <f t="shared" si="25"/>
        <v>0</v>
      </c>
      <c r="AE46" s="198">
        <f t="shared" si="25"/>
        <v>0</v>
      </c>
      <c r="AF46" s="198">
        <f t="shared" si="25"/>
        <v>0</v>
      </c>
      <c r="AG46" s="198">
        <f t="shared" si="25"/>
        <v>0</v>
      </c>
      <c r="AH46" s="198">
        <f t="shared" si="25"/>
        <v>0</v>
      </c>
      <c r="AI46" s="198">
        <f t="shared" si="25"/>
        <v>0</v>
      </c>
      <c r="AJ46" s="198">
        <f t="shared" si="25"/>
        <v>0</v>
      </c>
      <c r="AK46" s="198">
        <f t="shared" si="25"/>
        <v>6.8924035058200008</v>
      </c>
      <c r="AL46" s="198">
        <f t="shared" si="25"/>
        <v>0</v>
      </c>
      <c r="AM46" s="198">
        <f t="shared" si="25"/>
        <v>0</v>
      </c>
      <c r="AN46" s="198">
        <f t="shared" si="25"/>
        <v>3.95</v>
      </c>
      <c r="AO46" s="198">
        <f t="shared" si="25"/>
        <v>0.25</v>
      </c>
      <c r="AP46" s="198">
        <f t="shared" si="25"/>
        <v>0</v>
      </c>
      <c r="AQ46" s="198">
        <f t="shared" si="25"/>
        <v>0</v>
      </c>
      <c r="AR46" s="198">
        <f t="shared" si="25"/>
        <v>0</v>
      </c>
      <c r="AS46" s="198">
        <f t="shared" si="25"/>
        <v>0</v>
      </c>
      <c r="AT46" s="198">
        <f t="shared" si="25"/>
        <v>0</v>
      </c>
      <c r="AU46" s="198">
        <f t="shared" si="25"/>
        <v>0</v>
      </c>
      <c r="AV46" s="198">
        <f t="shared" si="25"/>
        <v>0</v>
      </c>
      <c r="AW46" s="198">
        <f t="shared" si="25"/>
        <v>0</v>
      </c>
      <c r="AX46" s="198">
        <f t="shared" si="25"/>
        <v>0</v>
      </c>
      <c r="AY46" s="198">
        <f t="shared" si="25"/>
        <v>0</v>
      </c>
      <c r="AZ46" s="198">
        <f t="shared" si="25"/>
        <v>0</v>
      </c>
      <c r="BA46" s="198">
        <f t="shared" si="25"/>
        <v>1.7328179360234399</v>
      </c>
      <c r="BB46" s="198">
        <f t="shared" si="25"/>
        <v>0</v>
      </c>
      <c r="BC46" s="198">
        <f t="shared" si="25"/>
        <v>0</v>
      </c>
      <c r="BD46" s="198">
        <f t="shared" si="25"/>
        <v>1.5659999999999998</v>
      </c>
      <c r="BE46" s="198">
        <f t="shared" si="25"/>
        <v>0</v>
      </c>
      <c r="BF46" s="198">
        <f t="shared" si="25"/>
        <v>0</v>
      </c>
      <c r="BG46" s="198">
        <f t="shared" si="25"/>
        <v>0</v>
      </c>
      <c r="BH46" s="198">
        <f t="shared" si="25"/>
        <v>0</v>
      </c>
      <c r="BI46" s="198">
        <f t="shared" si="25"/>
        <v>0</v>
      </c>
      <c r="BJ46" s="198">
        <f t="shared" si="25"/>
        <v>0</v>
      </c>
      <c r="BK46" s="198">
        <f t="shared" si="25"/>
        <v>0</v>
      </c>
      <c r="BL46" s="198">
        <f t="shared" si="25"/>
        <v>0</v>
      </c>
      <c r="BM46" s="198">
        <f t="shared" si="25"/>
        <v>0</v>
      </c>
      <c r="BN46" s="198">
        <f t="shared" si="25"/>
        <v>0</v>
      </c>
      <c r="BO46" s="198">
        <f t="shared" si="25"/>
        <v>0</v>
      </c>
      <c r="BP46" s="198">
        <f t="shared" si="25"/>
        <v>0</v>
      </c>
      <c r="BQ46" s="198">
        <f t="shared" ref="BQ46:DL46" si="26">SUM(BQ47:BQ50)</f>
        <v>1.8385944684557829</v>
      </c>
      <c r="BR46" s="198">
        <f t="shared" si="26"/>
        <v>0</v>
      </c>
      <c r="BS46" s="198">
        <f t="shared" si="26"/>
        <v>0</v>
      </c>
      <c r="BT46" s="198">
        <f t="shared" si="26"/>
        <v>2.0659999999999998</v>
      </c>
      <c r="BU46" s="198">
        <f t="shared" si="26"/>
        <v>0.16</v>
      </c>
      <c r="BV46" s="198">
        <f t="shared" si="26"/>
        <v>0</v>
      </c>
      <c r="BW46" s="198">
        <f t="shared" si="26"/>
        <v>0</v>
      </c>
      <c r="BX46" s="198">
        <f t="shared" si="26"/>
        <v>0</v>
      </c>
      <c r="BY46" s="198">
        <f t="shared" si="26"/>
        <v>0</v>
      </c>
      <c r="BZ46" s="198">
        <f t="shared" si="26"/>
        <v>0</v>
      </c>
      <c r="CA46" s="198">
        <f t="shared" si="26"/>
        <v>0</v>
      </c>
      <c r="CB46" s="198">
        <f t="shared" si="26"/>
        <v>0</v>
      </c>
      <c r="CC46" s="198">
        <f t="shared" si="26"/>
        <v>0</v>
      </c>
      <c r="CD46" s="198">
        <f t="shared" si="26"/>
        <v>0</v>
      </c>
      <c r="CE46" s="198">
        <f t="shared" si="26"/>
        <v>0</v>
      </c>
      <c r="CF46" s="198">
        <f t="shared" si="26"/>
        <v>0</v>
      </c>
      <c r="CG46" s="198">
        <f t="shared" si="26"/>
        <v>0</v>
      </c>
      <c r="CH46" s="198">
        <f t="shared" si="26"/>
        <v>0</v>
      </c>
      <c r="CI46" s="198">
        <f t="shared" si="26"/>
        <v>0</v>
      </c>
      <c r="CJ46" s="198">
        <f t="shared" si="26"/>
        <v>0</v>
      </c>
      <c r="CK46" s="198">
        <f t="shared" si="26"/>
        <v>0</v>
      </c>
      <c r="CL46" s="198">
        <f t="shared" si="26"/>
        <v>0</v>
      </c>
      <c r="CM46" s="198">
        <f t="shared" si="26"/>
        <v>0</v>
      </c>
      <c r="CN46" s="198">
        <f t="shared" si="26"/>
        <v>0</v>
      </c>
      <c r="CO46" s="198">
        <f t="shared" si="26"/>
        <v>0</v>
      </c>
      <c r="CP46" s="198">
        <f t="shared" si="26"/>
        <v>0</v>
      </c>
      <c r="CQ46" s="198">
        <f t="shared" si="26"/>
        <v>0</v>
      </c>
      <c r="CR46" s="198">
        <f t="shared" si="26"/>
        <v>0</v>
      </c>
      <c r="CS46" s="198">
        <f t="shared" si="26"/>
        <v>0</v>
      </c>
      <c r="CT46" s="198">
        <f t="shared" si="26"/>
        <v>0</v>
      </c>
      <c r="CU46" s="198">
        <f t="shared" si="26"/>
        <v>0</v>
      </c>
      <c r="CV46" s="198">
        <f t="shared" si="26"/>
        <v>0</v>
      </c>
      <c r="CW46" s="198">
        <f t="shared" si="26"/>
        <v>10.463815910299223</v>
      </c>
      <c r="CX46" s="198">
        <f t="shared" si="26"/>
        <v>0</v>
      </c>
      <c r="CY46" s="198">
        <f t="shared" si="26"/>
        <v>0</v>
      </c>
      <c r="CZ46" s="198">
        <f t="shared" si="26"/>
        <v>7.5819999999999999</v>
      </c>
      <c r="DA46" s="198">
        <f t="shared" si="26"/>
        <v>0.41000000000000003</v>
      </c>
      <c r="DB46" s="198">
        <f t="shared" si="26"/>
        <v>0</v>
      </c>
      <c r="DC46" s="198">
        <f t="shared" si="26"/>
        <v>0</v>
      </c>
      <c r="DD46" s="198">
        <f t="shared" si="26"/>
        <v>0</v>
      </c>
      <c r="DE46" s="198">
        <f t="shared" si="26"/>
        <v>0</v>
      </c>
      <c r="DF46" s="198">
        <f t="shared" si="26"/>
        <v>0</v>
      </c>
      <c r="DG46" s="198">
        <f t="shared" si="26"/>
        <v>0</v>
      </c>
      <c r="DH46" s="198">
        <f t="shared" si="26"/>
        <v>0</v>
      </c>
      <c r="DI46" s="198">
        <f t="shared" si="26"/>
        <v>0</v>
      </c>
      <c r="DJ46" s="198">
        <f t="shared" si="26"/>
        <v>0</v>
      </c>
      <c r="DK46" s="198">
        <f t="shared" si="26"/>
        <v>0</v>
      </c>
      <c r="DL46" s="198">
        <f t="shared" si="26"/>
        <v>0</v>
      </c>
    </row>
    <row r="47" spans="1:116" s="362" customFormat="1" ht="25.5" x14ac:dyDescent="0.25">
      <c r="A47" s="14" t="s">
        <v>76</v>
      </c>
      <c r="B47" s="417" t="s">
        <v>738</v>
      </c>
      <c r="C47" s="390" t="s">
        <v>724</v>
      </c>
      <c r="D47" s="351">
        <f>Ф3!K45</f>
        <v>6.8924035058200008</v>
      </c>
      <c r="E47" s="351">
        <f>Ф3!AN45</f>
        <v>0</v>
      </c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456"/>
      <c r="AK47" s="456">
        <f>D47</f>
        <v>6.8924035058200008</v>
      </c>
      <c r="AL47" s="456">
        <f>'Ф1 2023'!K47</f>
        <v>0</v>
      </c>
      <c r="AM47" s="456"/>
      <c r="AN47" s="456">
        <v>3.95</v>
      </c>
      <c r="AO47" s="456">
        <v>0.25</v>
      </c>
      <c r="AP47" s="456"/>
      <c r="AQ47" s="456"/>
      <c r="AR47" s="456"/>
      <c r="AS47" s="456">
        <f>E47</f>
        <v>0</v>
      </c>
      <c r="AT47" s="456">
        <v>0</v>
      </c>
      <c r="AU47" s="456"/>
      <c r="AV47" s="456">
        <f>'Ф1 2023'!O47</f>
        <v>0</v>
      </c>
      <c r="AW47" s="456"/>
      <c r="AX47" s="456"/>
      <c r="AY47" s="456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>
        <f t="shared" ref="CW47:CW50" si="27">U47+AK47+BA47+BQ47+CG47</f>
        <v>6.8924035058200008</v>
      </c>
      <c r="CX47" s="351">
        <f>AL47</f>
        <v>0</v>
      </c>
      <c r="CY47" s="351">
        <f>AM47</f>
        <v>0</v>
      </c>
      <c r="CZ47" s="351">
        <f>X47+AN47+BD47+BT47+CJ47</f>
        <v>3.95</v>
      </c>
      <c r="DA47" s="351">
        <f t="shared" ref="DA47" si="28">Y47+AO47+BE47+BU47+CK47</f>
        <v>0.25</v>
      </c>
      <c r="DB47" s="351">
        <f t="shared" ref="DB47" si="29">Z47+AP47+BF47+BV47+CL47</f>
        <v>0</v>
      </c>
      <c r="DC47" s="351">
        <f t="shared" ref="DC47" si="30">AA47+AQ47+BG47+BW47+CM47</f>
        <v>0</v>
      </c>
      <c r="DD47" s="351"/>
      <c r="DE47" s="351">
        <f>AC47+AS47+BI47</f>
        <v>0</v>
      </c>
      <c r="DF47" s="351">
        <f>AD47+AT47+BJ47</f>
        <v>0</v>
      </c>
      <c r="DG47" s="351"/>
      <c r="DH47" s="351">
        <f>AF47+AV47+BL47</f>
        <v>0</v>
      </c>
      <c r="DI47" s="351"/>
      <c r="DJ47" s="351"/>
      <c r="DK47" s="351"/>
      <c r="DL47" s="351"/>
    </row>
    <row r="48" spans="1:116" s="395" customFormat="1" x14ac:dyDescent="0.25">
      <c r="A48" s="14" t="s">
        <v>659</v>
      </c>
      <c r="B48" s="417" t="s">
        <v>739</v>
      </c>
      <c r="C48" s="390" t="s">
        <v>725</v>
      </c>
      <c r="D48" s="351">
        <f>Ф3!K46</f>
        <v>0.84742460130791997</v>
      </c>
      <c r="E48" s="393">
        <f>Ф3!AN46</f>
        <v>0</v>
      </c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456"/>
      <c r="BA48" s="456">
        <f>D48</f>
        <v>0.84742460130791997</v>
      </c>
      <c r="BB48" s="456"/>
      <c r="BC48" s="456"/>
      <c r="BD48" s="456">
        <v>0.74099999999999999</v>
      </c>
      <c r="BE48" s="456"/>
      <c r="BF48" s="456"/>
      <c r="BG48" s="456"/>
      <c r="BH48" s="456"/>
      <c r="BI48" s="456">
        <f>Ф3!AN46</f>
        <v>0</v>
      </c>
      <c r="BJ48" s="456"/>
      <c r="BK48" s="456">
        <v>0</v>
      </c>
      <c r="BL48" s="456">
        <v>0</v>
      </c>
      <c r="BM48" s="456"/>
      <c r="BN48" s="456"/>
      <c r="BO48" s="456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>
        <f>Ф3!X46</f>
        <v>0</v>
      </c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>
        <f>Ф3!AN46</f>
        <v>0</v>
      </c>
      <c r="CP48" s="393"/>
      <c r="CQ48" s="393"/>
      <c r="CR48" s="393"/>
      <c r="CS48" s="393"/>
      <c r="CT48" s="393"/>
      <c r="CU48" s="393"/>
      <c r="CV48" s="393"/>
      <c r="CW48" s="351">
        <f t="shared" si="27"/>
        <v>0.84742460130791997</v>
      </c>
      <c r="CX48" s="393"/>
      <c r="CY48" s="393"/>
      <c r="CZ48" s="351">
        <f t="shared" ref="CZ48:CZ50" si="31">X48+AN48+BD48+BT48+CJ48</f>
        <v>0.74099999999999999</v>
      </c>
      <c r="DA48" s="351">
        <f t="shared" ref="DA48:DA50" si="32">Y48+AO48+BE48+BU48+CK48</f>
        <v>0</v>
      </c>
      <c r="DB48" s="351">
        <f t="shared" ref="DB48:DB50" si="33">Z48+AP48+BF48+BV48+CL48</f>
        <v>0</v>
      </c>
      <c r="DC48" s="351">
        <f t="shared" ref="DC48:DC50" si="34">AA48+AQ48+BG48+BW48+CM48</f>
        <v>0</v>
      </c>
      <c r="DD48" s="393"/>
      <c r="DE48" s="393">
        <f t="shared" ref="DE48:DI49" si="35">BI48</f>
        <v>0</v>
      </c>
      <c r="DF48" s="393">
        <f t="shared" si="35"/>
        <v>0</v>
      </c>
      <c r="DG48" s="393">
        <f t="shared" si="35"/>
        <v>0</v>
      </c>
      <c r="DH48" s="393">
        <f t="shared" si="35"/>
        <v>0</v>
      </c>
      <c r="DI48" s="393">
        <f t="shared" si="35"/>
        <v>0</v>
      </c>
      <c r="DJ48" s="393"/>
      <c r="DK48" s="393"/>
      <c r="DL48" s="393"/>
    </row>
    <row r="49" spans="1:116" s="395" customFormat="1" x14ac:dyDescent="0.25">
      <c r="A49" s="14" t="s">
        <v>661</v>
      </c>
      <c r="B49" s="417" t="s">
        <v>740</v>
      </c>
      <c r="C49" s="390" t="s">
        <v>726</v>
      </c>
      <c r="D49" s="351">
        <f>Ф3!K47</f>
        <v>0.88539333471551984</v>
      </c>
      <c r="E49" s="393">
        <f>Ф3!AN47</f>
        <v>0</v>
      </c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456"/>
      <c r="BA49" s="456">
        <f>D49</f>
        <v>0.88539333471551984</v>
      </c>
      <c r="BB49" s="456"/>
      <c r="BC49" s="456"/>
      <c r="BD49" s="456">
        <v>0.82499999999999996</v>
      </c>
      <c r="BE49" s="456"/>
      <c r="BF49" s="456"/>
      <c r="BG49" s="456"/>
      <c r="BH49" s="456"/>
      <c r="BI49" s="456">
        <f>Ф3!AN47</f>
        <v>0</v>
      </c>
      <c r="BJ49" s="456"/>
      <c r="BK49" s="456">
        <v>0</v>
      </c>
      <c r="BL49" s="456">
        <v>0</v>
      </c>
      <c r="BM49" s="456"/>
      <c r="BN49" s="456"/>
      <c r="BO49" s="456"/>
      <c r="BP49" s="393"/>
      <c r="BQ49" s="393"/>
      <c r="BR49" s="393"/>
      <c r="BS49" s="393"/>
      <c r="BT49" s="393"/>
      <c r="BU49" s="393"/>
      <c r="BV49" s="393"/>
      <c r="BW49" s="393"/>
      <c r="BX49" s="393"/>
      <c r="BY49" s="393">
        <f>Ф3!X47</f>
        <v>0</v>
      </c>
      <c r="BZ49" s="393"/>
      <c r="CA49" s="393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>
        <f>Ф3!AN47</f>
        <v>0</v>
      </c>
      <c r="CP49" s="393"/>
      <c r="CQ49" s="393"/>
      <c r="CR49" s="393"/>
      <c r="CS49" s="393"/>
      <c r="CT49" s="393"/>
      <c r="CU49" s="393"/>
      <c r="CV49" s="393"/>
      <c r="CW49" s="351">
        <f t="shared" si="27"/>
        <v>0.88539333471551984</v>
      </c>
      <c r="CX49" s="393"/>
      <c r="CY49" s="393"/>
      <c r="CZ49" s="351">
        <f t="shared" si="31"/>
        <v>0.82499999999999996</v>
      </c>
      <c r="DA49" s="351">
        <f t="shared" si="32"/>
        <v>0</v>
      </c>
      <c r="DB49" s="351">
        <f t="shared" si="33"/>
        <v>0</v>
      </c>
      <c r="DC49" s="351">
        <f t="shared" si="34"/>
        <v>0</v>
      </c>
      <c r="DD49" s="393"/>
      <c r="DE49" s="393">
        <f t="shared" si="35"/>
        <v>0</v>
      </c>
      <c r="DF49" s="393">
        <f t="shared" si="35"/>
        <v>0</v>
      </c>
      <c r="DG49" s="393">
        <f t="shared" si="35"/>
        <v>0</v>
      </c>
      <c r="DH49" s="393">
        <f t="shared" si="35"/>
        <v>0</v>
      </c>
      <c r="DI49" s="393">
        <f t="shared" si="35"/>
        <v>0</v>
      </c>
      <c r="DJ49" s="393"/>
      <c r="DK49" s="393"/>
      <c r="DL49" s="393"/>
    </row>
    <row r="50" spans="1:116" s="362" customFormat="1" ht="38.25" x14ac:dyDescent="0.25">
      <c r="A50" s="14" t="s">
        <v>662</v>
      </c>
      <c r="B50" s="417" t="s">
        <v>741</v>
      </c>
      <c r="C50" s="390" t="s">
        <v>727</v>
      </c>
      <c r="D50" s="351">
        <f>Ф3!K48</f>
        <v>1.8385944684557829</v>
      </c>
      <c r="E50" s="351">
        <f>Ф3!AN48</f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0</v>
      </c>
      <c r="N50" s="351">
        <v>0</v>
      </c>
      <c r="O50" s="351">
        <v>0</v>
      </c>
      <c r="P50" s="351">
        <v>0</v>
      </c>
      <c r="Q50" s="351">
        <v>0</v>
      </c>
      <c r="R50" s="351">
        <v>0</v>
      </c>
      <c r="S50" s="351">
        <v>0</v>
      </c>
      <c r="T50" s="351">
        <v>0</v>
      </c>
      <c r="U50" s="351">
        <v>0</v>
      </c>
      <c r="V50" s="351">
        <v>0</v>
      </c>
      <c r="W50" s="351">
        <v>0</v>
      </c>
      <c r="X50" s="351">
        <v>0</v>
      </c>
      <c r="Y50" s="351">
        <v>0</v>
      </c>
      <c r="Z50" s="351"/>
      <c r="AA50" s="351">
        <v>0</v>
      </c>
      <c r="AB50" s="351">
        <v>0</v>
      </c>
      <c r="AC50" s="351">
        <v>0</v>
      </c>
      <c r="AD50" s="351">
        <v>0</v>
      </c>
      <c r="AE50" s="351">
        <v>0</v>
      </c>
      <c r="AF50" s="351">
        <v>0</v>
      </c>
      <c r="AG50" s="351">
        <v>0</v>
      </c>
      <c r="AH50" s="351"/>
      <c r="AI50" s="351">
        <v>0</v>
      </c>
      <c r="AJ50" s="351">
        <v>0</v>
      </c>
      <c r="AK50" s="351">
        <v>0</v>
      </c>
      <c r="AL50" s="351">
        <v>0</v>
      </c>
      <c r="AM50" s="351">
        <v>0</v>
      </c>
      <c r="AN50" s="351">
        <v>0</v>
      </c>
      <c r="AO50" s="351">
        <v>0</v>
      </c>
      <c r="AP50" s="351"/>
      <c r="AQ50" s="351">
        <v>0</v>
      </c>
      <c r="AR50" s="351">
        <v>0</v>
      </c>
      <c r="AS50" s="351">
        <v>0</v>
      </c>
      <c r="AT50" s="351">
        <v>0</v>
      </c>
      <c r="AU50" s="351">
        <v>0</v>
      </c>
      <c r="AV50" s="351">
        <v>0</v>
      </c>
      <c r="AW50" s="351">
        <v>0</v>
      </c>
      <c r="AX50" s="351"/>
      <c r="AY50" s="351">
        <v>0</v>
      </c>
      <c r="AZ50" s="351">
        <v>0</v>
      </c>
      <c r="BA50" s="351">
        <v>0</v>
      </c>
      <c r="BB50" s="351">
        <v>0</v>
      </c>
      <c r="BC50" s="351">
        <v>0</v>
      </c>
      <c r="BD50" s="351">
        <v>0</v>
      </c>
      <c r="BE50" s="351">
        <v>0</v>
      </c>
      <c r="BF50" s="351"/>
      <c r="BG50" s="351">
        <v>0</v>
      </c>
      <c r="BH50" s="351">
        <v>0</v>
      </c>
      <c r="BI50" s="351">
        <f>E50</f>
        <v>0</v>
      </c>
      <c r="BJ50" s="351">
        <v>0</v>
      </c>
      <c r="BK50" s="351">
        <v>0</v>
      </c>
      <c r="BL50" s="351">
        <v>0</v>
      </c>
      <c r="BM50" s="351">
        <v>0</v>
      </c>
      <c r="BN50" s="351"/>
      <c r="BO50" s="351">
        <v>0</v>
      </c>
      <c r="BP50" s="456">
        <v>0</v>
      </c>
      <c r="BQ50" s="456">
        <f>D50</f>
        <v>1.8385944684557829</v>
      </c>
      <c r="BR50" s="456">
        <v>0</v>
      </c>
      <c r="BS50" s="456">
        <v>0</v>
      </c>
      <c r="BT50" s="456">
        <v>2.0659999999999998</v>
      </c>
      <c r="BU50" s="456">
        <v>0.16</v>
      </c>
      <c r="BV50" s="456"/>
      <c r="BW50" s="456">
        <v>0</v>
      </c>
      <c r="BX50" s="456">
        <v>0</v>
      </c>
      <c r="BY50" s="456"/>
      <c r="BZ50" s="456"/>
      <c r="CA50" s="456"/>
      <c r="CB50" s="456"/>
      <c r="CC50" s="456">
        <v>0</v>
      </c>
      <c r="CD50" s="456"/>
      <c r="CE50" s="456">
        <v>0</v>
      </c>
      <c r="CF50" s="351">
        <v>0</v>
      </c>
      <c r="CG50" s="351"/>
      <c r="CH50" s="351"/>
      <c r="CI50" s="351"/>
      <c r="CJ50" s="351"/>
      <c r="CK50" s="351">
        <v>0</v>
      </c>
      <c r="CL50" s="351"/>
      <c r="CM50" s="351">
        <v>0</v>
      </c>
      <c r="CN50" s="351">
        <v>0</v>
      </c>
      <c r="CO50" s="351">
        <f>E50</f>
        <v>0</v>
      </c>
      <c r="CP50" s="351">
        <v>0</v>
      </c>
      <c r="CQ50" s="351"/>
      <c r="CR50" s="351"/>
      <c r="CS50" s="351"/>
      <c r="CT50" s="351"/>
      <c r="CU50" s="351">
        <v>0</v>
      </c>
      <c r="CV50" s="351">
        <v>0</v>
      </c>
      <c r="CW50" s="351">
        <f t="shared" si="27"/>
        <v>1.8385944684557829</v>
      </c>
      <c r="CX50" s="351">
        <f>V50+AL50+BB50</f>
        <v>0</v>
      </c>
      <c r="CY50" s="351">
        <f>W50+AM50+BC50</f>
        <v>0</v>
      </c>
      <c r="CZ50" s="351">
        <f t="shared" si="31"/>
        <v>2.0659999999999998</v>
      </c>
      <c r="DA50" s="351">
        <f t="shared" si="32"/>
        <v>0.16</v>
      </c>
      <c r="DB50" s="351">
        <f t="shared" si="33"/>
        <v>0</v>
      </c>
      <c r="DC50" s="351">
        <f t="shared" si="34"/>
        <v>0</v>
      </c>
      <c r="DD50" s="351">
        <f>BH50</f>
        <v>0</v>
      </c>
      <c r="DE50" s="351">
        <f>AC50+AS50+BI50</f>
        <v>0</v>
      </c>
      <c r="DF50" s="351">
        <f>AD50+AT50+BJ50</f>
        <v>0</v>
      </c>
      <c r="DG50" s="351">
        <f>AE50+AU50+BK50</f>
        <v>0</v>
      </c>
      <c r="DH50" s="351">
        <f>AF50+AV50+BL50</f>
        <v>0</v>
      </c>
      <c r="DI50" s="351">
        <f>AG50+AW50+BM50</f>
        <v>0</v>
      </c>
      <c r="DJ50" s="351"/>
      <c r="DK50" s="351">
        <f>AI50+AY50+BO50</f>
        <v>0</v>
      </c>
      <c r="DL50" s="351"/>
    </row>
    <row r="51" spans="1:116" s="200" customFormat="1" ht="31.5" hidden="1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</row>
    <row r="52" spans="1:116" s="196" customFormat="1" ht="31.5" x14ac:dyDescent="0.25">
      <c r="A52" s="194" t="s">
        <v>116</v>
      </c>
      <c r="B52" s="65" t="s">
        <v>117</v>
      </c>
      <c r="C52" s="195">
        <v>0</v>
      </c>
      <c r="D52" s="195">
        <f t="shared" ref="D52" si="36">D53</f>
        <v>27.582076052048038</v>
      </c>
      <c r="E52" s="195">
        <f t="shared" ref="E52" si="37">E53</f>
        <v>0</v>
      </c>
      <c r="F52" s="195">
        <f t="shared" ref="F52" si="38">F53</f>
        <v>0</v>
      </c>
      <c r="G52" s="195">
        <f t="shared" ref="G52" si="39">G53</f>
        <v>0</v>
      </c>
      <c r="H52" s="195">
        <f t="shared" ref="H52" si="40">H53</f>
        <v>0</v>
      </c>
      <c r="I52" s="195">
        <f t="shared" ref="I52" si="41">I53</f>
        <v>0</v>
      </c>
      <c r="J52" s="195">
        <f t="shared" ref="J52" si="42">J53</f>
        <v>0</v>
      </c>
      <c r="K52" s="195">
        <f t="shared" ref="K52" si="43">K53</f>
        <v>0</v>
      </c>
      <c r="L52" s="195">
        <f t="shared" ref="L52" si="44">L53</f>
        <v>0</v>
      </c>
      <c r="M52" s="195">
        <f t="shared" ref="M52" si="45">M53</f>
        <v>0</v>
      </c>
      <c r="N52" s="195">
        <f t="shared" ref="N52" si="46">N53</f>
        <v>0</v>
      </c>
      <c r="O52" s="195">
        <f t="shared" ref="O52" si="47">O53</f>
        <v>0</v>
      </c>
      <c r="P52" s="195">
        <f t="shared" ref="P52" si="48">P53</f>
        <v>0</v>
      </c>
      <c r="Q52" s="195">
        <f t="shared" ref="Q52" si="49">Q53</f>
        <v>0</v>
      </c>
      <c r="R52" s="195">
        <f t="shared" ref="R52" si="50">R53</f>
        <v>0</v>
      </c>
      <c r="S52" s="195">
        <f t="shared" ref="S52" si="51">S53</f>
        <v>0</v>
      </c>
      <c r="T52" s="195">
        <f t="shared" ref="T52" si="52">T53</f>
        <v>0</v>
      </c>
      <c r="U52" s="195">
        <f t="shared" ref="U52:CF52" si="53">U53</f>
        <v>8.1018356066666684</v>
      </c>
      <c r="V52" s="195">
        <f t="shared" si="53"/>
        <v>0</v>
      </c>
      <c r="W52" s="195">
        <f t="shared" si="53"/>
        <v>0</v>
      </c>
      <c r="X52" s="195">
        <f t="shared" si="53"/>
        <v>0</v>
      </c>
      <c r="Y52" s="195">
        <f t="shared" si="53"/>
        <v>0</v>
      </c>
      <c r="Z52" s="318">
        <f t="shared" si="53"/>
        <v>347</v>
      </c>
      <c r="AA52" s="195">
        <f t="shared" si="53"/>
        <v>0</v>
      </c>
      <c r="AB52" s="195">
        <f t="shared" si="53"/>
        <v>0</v>
      </c>
      <c r="AC52" s="195">
        <f t="shared" si="53"/>
        <v>0</v>
      </c>
      <c r="AD52" s="195">
        <f t="shared" si="53"/>
        <v>0</v>
      </c>
      <c r="AE52" s="195">
        <f t="shared" si="53"/>
        <v>0</v>
      </c>
      <c r="AF52" s="195">
        <f t="shared" si="53"/>
        <v>0</v>
      </c>
      <c r="AG52" s="195">
        <f t="shared" si="53"/>
        <v>0</v>
      </c>
      <c r="AH52" s="195">
        <f t="shared" si="53"/>
        <v>0</v>
      </c>
      <c r="AI52" s="195">
        <f t="shared" si="53"/>
        <v>0</v>
      </c>
      <c r="AJ52" s="195">
        <f t="shared" si="53"/>
        <v>0</v>
      </c>
      <c r="AK52" s="195">
        <f t="shared" si="53"/>
        <v>5.9443916950400002</v>
      </c>
      <c r="AL52" s="195">
        <f t="shared" si="53"/>
        <v>0</v>
      </c>
      <c r="AM52" s="195">
        <f t="shared" si="53"/>
        <v>0</v>
      </c>
      <c r="AN52" s="195">
        <f t="shared" si="53"/>
        <v>0</v>
      </c>
      <c r="AO52" s="195">
        <f t="shared" si="53"/>
        <v>0</v>
      </c>
      <c r="AP52" s="318">
        <f t="shared" si="53"/>
        <v>287</v>
      </c>
      <c r="AQ52" s="195">
        <f t="shared" si="53"/>
        <v>0</v>
      </c>
      <c r="AR52" s="195">
        <f t="shared" si="53"/>
        <v>0</v>
      </c>
      <c r="AS52" s="195">
        <f t="shared" si="53"/>
        <v>0</v>
      </c>
      <c r="AT52" s="195">
        <f t="shared" si="53"/>
        <v>0</v>
      </c>
      <c r="AU52" s="195">
        <f t="shared" si="53"/>
        <v>0</v>
      </c>
      <c r="AV52" s="195">
        <f t="shared" si="53"/>
        <v>0</v>
      </c>
      <c r="AW52" s="195">
        <f t="shared" si="53"/>
        <v>0</v>
      </c>
      <c r="AX52" s="195">
        <f t="shared" si="53"/>
        <v>0</v>
      </c>
      <c r="AY52" s="195">
        <f t="shared" si="53"/>
        <v>0</v>
      </c>
      <c r="AZ52" s="195">
        <f t="shared" si="53"/>
        <v>0</v>
      </c>
      <c r="BA52" s="195">
        <f t="shared" si="53"/>
        <v>3.78119951062008</v>
      </c>
      <c r="BB52" s="195">
        <f t="shared" si="53"/>
        <v>0</v>
      </c>
      <c r="BC52" s="195">
        <f t="shared" si="53"/>
        <v>0</v>
      </c>
      <c r="BD52" s="195">
        <f t="shared" si="53"/>
        <v>0</v>
      </c>
      <c r="BE52" s="195">
        <f t="shared" si="53"/>
        <v>0</v>
      </c>
      <c r="BF52" s="318">
        <f t="shared" si="53"/>
        <v>171</v>
      </c>
      <c r="BG52" s="195">
        <f t="shared" si="53"/>
        <v>0</v>
      </c>
      <c r="BH52" s="195">
        <f t="shared" si="53"/>
        <v>0</v>
      </c>
      <c r="BI52" s="195">
        <f t="shared" si="53"/>
        <v>0</v>
      </c>
      <c r="BJ52" s="195">
        <f t="shared" si="53"/>
        <v>0</v>
      </c>
      <c r="BK52" s="195">
        <f t="shared" si="53"/>
        <v>0</v>
      </c>
      <c r="BL52" s="195">
        <f t="shared" si="53"/>
        <v>0</v>
      </c>
      <c r="BM52" s="195">
        <f t="shared" si="53"/>
        <v>0</v>
      </c>
      <c r="BN52" s="195">
        <f t="shared" si="53"/>
        <v>0</v>
      </c>
      <c r="BO52" s="195">
        <f t="shared" si="53"/>
        <v>0</v>
      </c>
      <c r="BP52" s="195">
        <f t="shared" si="53"/>
        <v>0</v>
      </c>
      <c r="BQ52" s="195">
        <f t="shared" si="53"/>
        <v>4.6057834832700211</v>
      </c>
      <c r="BR52" s="195">
        <f t="shared" si="53"/>
        <v>0</v>
      </c>
      <c r="BS52" s="195">
        <f t="shared" si="53"/>
        <v>0</v>
      </c>
      <c r="BT52" s="195">
        <f t="shared" si="53"/>
        <v>0</v>
      </c>
      <c r="BU52" s="195">
        <f t="shared" si="53"/>
        <v>0</v>
      </c>
      <c r="BV52" s="318">
        <f t="shared" si="53"/>
        <v>201</v>
      </c>
      <c r="BW52" s="195">
        <f t="shared" si="53"/>
        <v>0</v>
      </c>
      <c r="BX52" s="195">
        <f t="shared" si="53"/>
        <v>0</v>
      </c>
      <c r="BY52" s="195">
        <f t="shared" si="53"/>
        <v>0</v>
      </c>
      <c r="BZ52" s="195">
        <f t="shared" si="53"/>
        <v>0</v>
      </c>
      <c r="CA52" s="195">
        <f t="shared" si="53"/>
        <v>0</v>
      </c>
      <c r="CB52" s="195">
        <f t="shared" si="53"/>
        <v>0</v>
      </c>
      <c r="CC52" s="195">
        <f t="shared" si="53"/>
        <v>0</v>
      </c>
      <c r="CD52" s="195">
        <f t="shared" si="53"/>
        <v>0</v>
      </c>
      <c r="CE52" s="195">
        <f t="shared" si="53"/>
        <v>0</v>
      </c>
      <c r="CF52" s="195">
        <f t="shared" si="53"/>
        <v>0</v>
      </c>
      <c r="CG52" s="195">
        <f t="shared" ref="CG52:DL52" si="54">CG53</f>
        <v>5.1488657564512703</v>
      </c>
      <c r="CH52" s="195">
        <f t="shared" si="54"/>
        <v>0</v>
      </c>
      <c r="CI52" s="195">
        <f t="shared" si="54"/>
        <v>0</v>
      </c>
      <c r="CJ52" s="195">
        <f t="shared" si="54"/>
        <v>0</v>
      </c>
      <c r="CK52" s="195">
        <f t="shared" si="54"/>
        <v>0</v>
      </c>
      <c r="CL52" s="318">
        <f t="shared" si="54"/>
        <v>213</v>
      </c>
      <c r="CM52" s="195">
        <f t="shared" si="54"/>
        <v>0</v>
      </c>
      <c r="CN52" s="195">
        <f t="shared" si="54"/>
        <v>0</v>
      </c>
      <c r="CO52" s="195">
        <f t="shared" si="54"/>
        <v>0</v>
      </c>
      <c r="CP52" s="195">
        <f t="shared" si="54"/>
        <v>0</v>
      </c>
      <c r="CQ52" s="195">
        <f t="shared" si="54"/>
        <v>0</v>
      </c>
      <c r="CR52" s="195">
        <f t="shared" si="54"/>
        <v>0</v>
      </c>
      <c r="CS52" s="195">
        <f t="shared" si="54"/>
        <v>0</v>
      </c>
      <c r="CT52" s="195">
        <f t="shared" si="54"/>
        <v>0</v>
      </c>
      <c r="CU52" s="195">
        <f t="shared" si="54"/>
        <v>0</v>
      </c>
      <c r="CV52" s="195">
        <f t="shared" si="54"/>
        <v>0</v>
      </c>
      <c r="CW52" s="195">
        <f t="shared" si="54"/>
        <v>27.582076052048038</v>
      </c>
      <c r="CX52" s="195">
        <f t="shared" si="54"/>
        <v>0</v>
      </c>
      <c r="CY52" s="195">
        <f t="shared" si="54"/>
        <v>0</v>
      </c>
      <c r="CZ52" s="195">
        <f t="shared" si="54"/>
        <v>0</v>
      </c>
      <c r="DA52" s="195">
        <f t="shared" si="54"/>
        <v>0</v>
      </c>
      <c r="DB52" s="318">
        <f t="shared" si="54"/>
        <v>1219</v>
      </c>
      <c r="DC52" s="195">
        <f t="shared" si="54"/>
        <v>0</v>
      </c>
      <c r="DD52" s="195">
        <f t="shared" si="54"/>
        <v>0</v>
      </c>
      <c r="DE52" s="195">
        <f t="shared" si="54"/>
        <v>0</v>
      </c>
      <c r="DF52" s="195">
        <f t="shared" si="54"/>
        <v>0</v>
      </c>
      <c r="DG52" s="195">
        <f t="shared" si="54"/>
        <v>0</v>
      </c>
      <c r="DH52" s="195">
        <f t="shared" si="54"/>
        <v>0</v>
      </c>
      <c r="DI52" s="195">
        <f t="shared" si="54"/>
        <v>0</v>
      </c>
      <c r="DJ52" s="195">
        <f t="shared" si="54"/>
        <v>0</v>
      </c>
      <c r="DK52" s="195">
        <f t="shared" si="54"/>
        <v>0</v>
      </c>
      <c r="DL52" s="195">
        <f t="shared" si="54"/>
        <v>0</v>
      </c>
    </row>
    <row r="53" spans="1:116" s="200" customFormat="1" ht="31.5" outlineLevel="1" x14ac:dyDescent="0.25">
      <c r="A53" s="197" t="s">
        <v>118</v>
      </c>
      <c r="B53" s="11" t="s">
        <v>119</v>
      </c>
      <c r="C53" s="198"/>
      <c r="D53" s="198">
        <f>SUM(D54:D58)</f>
        <v>27.582076052048038</v>
      </c>
      <c r="E53" s="198">
        <f t="shared" ref="E53" si="55">SUM(E54:E58)</f>
        <v>0</v>
      </c>
      <c r="F53" s="198">
        <f t="shared" ref="F53" si="56">SUM(F54:F58)</f>
        <v>0</v>
      </c>
      <c r="G53" s="198">
        <f t="shared" ref="G53" si="57">SUM(G54:G58)</f>
        <v>0</v>
      </c>
      <c r="H53" s="198">
        <f t="shared" ref="H53" si="58">SUM(H54:H58)</f>
        <v>0</v>
      </c>
      <c r="I53" s="198">
        <f t="shared" ref="I53" si="59">SUM(I54:I58)</f>
        <v>0</v>
      </c>
      <c r="J53" s="198">
        <f t="shared" ref="J53" si="60">SUM(J54:J58)</f>
        <v>0</v>
      </c>
      <c r="K53" s="198">
        <f t="shared" ref="K53" si="61">SUM(K54:K58)</f>
        <v>0</v>
      </c>
      <c r="L53" s="198">
        <f t="shared" ref="L53" si="62">SUM(L54:L58)</f>
        <v>0</v>
      </c>
      <c r="M53" s="198">
        <f t="shared" ref="M53" si="63">SUM(M54:M58)</f>
        <v>0</v>
      </c>
      <c r="N53" s="198">
        <f t="shared" ref="N53" si="64">SUM(N54:N58)</f>
        <v>0</v>
      </c>
      <c r="O53" s="198">
        <f t="shared" ref="O53" si="65">SUM(O54:O58)</f>
        <v>0</v>
      </c>
      <c r="P53" s="198">
        <f t="shared" ref="P53" si="66">SUM(P54:P58)</f>
        <v>0</v>
      </c>
      <c r="Q53" s="198">
        <f t="shared" ref="Q53" si="67">SUM(Q54:Q58)</f>
        <v>0</v>
      </c>
      <c r="R53" s="198">
        <f t="shared" ref="R53" si="68">SUM(R54:R58)</f>
        <v>0</v>
      </c>
      <c r="S53" s="198">
        <f t="shared" ref="S53" si="69">SUM(S54:S58)</f>
        <v>0</v>
      </c>
      <c r="T53" s="198">
        <f t="shared" ref="T53" si="70">SUM(T54:T58)</f>
        <v>0</v>
      </c>
      <c r="U53" s="198">
        <f t="shared" ref="U53:CF53" si="71">SUM(U54:U58)</f>
        <v>8.1018356066666684</v>
      </c>
      <c r="V53" s="198">
        <f t="shared" si="71"/>
        <v>0</v>
      </c>
      <c r="W53" s="198">
        <f t="shared" si="71"/>
        <v>0</v>
      </c>
      <c r="X53" s="198">
        <f t="shared" si="71"/>
        <v>0</v>
      </c>
      <c r="Y53" s="198">
        <f t="shared" si="71"/>
        <v>0</v>
      </c>
      <c r="Z53" s="319">
        <f t="shared" si="71"/>
        <v>347</v>
      </c>
      <c r="AA53" s="198">
        <f t="shared" si="71"/>
        <v>0</v>
      </c>
      <c r="AB53" s="198">
        <f t="shared" si="71"/>
        <v>0</v>
      </c>
      <c r="AC53" s="198">
        <f t="shared" si="71"/>
        <v>0</v>
      </c>
      <c r="AD53" s="198">
        <f t="shared" si="71"/>
        <v>0</v>
      </c>
      <c r="AE53" s="198">
        <f t="shared" si="71"/>
        <v>0</v>
      </c>
      <c r="AF53" s="198">
        <f t="shared" si="71"/>
        <v>0</v>
      </c>
      <c r="AG53" s="198">
        <f t="shared" si="71"/>
        <v>0</v>
      </c>
      <c r="AH53" s="198">
        <f t="shared" si="71"/>
        <v>0</v>
      </c>
      <c r="AI53" s="198">
        <f t="shared" si="71"/>
        <v>0</v>
      </c>
      <c r="AJ53" s="198">
        <f t="shared" si="71"/>
        <v>0</v>
      </c>
      <c r="AK53" s="198">
        <f t="shared" si="71"/>
        <v>5.9443916950400002</v>
      </c>
      <c r="AL53" s="198">
        <f t="shared" si="71"/>
        <v>0</v>
      </c>
      <c r="AM53" s="198">
        <f t="shared" si="71"/>
        <v>0</v>
      </c>
      <c r="AN53" s="198">
        <f t="shared" si="71"/>
        <v>0</v>
      </c>
      <c r="AO53" s="198">
        <f t="shared" si="71"/>
        <v>0</v>
      </c>
      <c r="AP53" s="319">
        <f t="shared" si="71"/>
        <v>287</v>
      </c>
      <c r="AQ53" s="198">
        <f t="shared" si="71"/>
        <v>0</v>
      </c>
      <c r="AR53" s="198">
        <f t="shared" si="71"/>
        <v>0</v>
      </c>
      <c r="AS53" s="198">
        <f t="shared" si="71"/>
        <v>0</v>
      </c>
      <c r="AT53" s="198">
        <f t="shared" si="71"/>
        <v>0</v>
      </c>
      <c r="AU53" s="198">
        <f t="shared" si="71"/>
        <v>0</v>
      </c>
      <c r="AV53" s="198">
        <f t="shared" si="71"/>
        <v>0</v>
      </c>
      <c r="AW53" s="198">
        <f t="shared" si="71"/>
        <v>0</v>
      </c>
      <c r="AX53" s="198">
        <f t="shared" si="71"/>
        <v>0</v>
      </c>
      <c r="AY53" s="198">
        <f t="shared" si="71"/>
        <v>0</v>
      </c>
      <c r="AZ53" s="198">
        <f t="shared" si="71"/>
        <v>0</v>
      </c>
      <c r="BA53" s="198">
        <f t="shared" si="71"/>
        <v>3.78119951062008</v>
      </c>
      <c r="BB53" s="198">
        <f t="shared" si="71"/>
        <v>0</v>
      </c>
      <c r="BC53" s="198">
        <f t="shared" si="71"/>
        <v>0</v>
      </c>
      <c r="BD53" s="198">
        <f t="shared" si="71"/>
        <v>0</v>
      </c>
      <c r="BE53" s="198">
        <f t="shared" si="71"/>
        <v>0</v>
      </c>
      <c r="BF53" s="319">
        <f t="shared" si="71"/>
        <v>171</v>
      </c>
      <c r="BG53" s="198">
        <f t="shared" si="71"/>
        <v>0</v>
      </c>
      <c r="BH53" s="198">
        <f t="shared" si="71"/>
        <v>0</v>
      </c>
      <c r="BI53" s="198">
        <f t="shared" si="71"/>
        <v>0</v>
      </c>
      <c r="BJ53" s="198">
        <f t="shared" si="71"/>
        <v>0</v>
      </c>
      <c r="BK53" s="198">
        <f t="shared" si="71"/>
        <v>0</v>
      </c>
      <c r="BL53" s="198">
        <f t="shared" si="71"/>
        <v>0</v>
      </c>
      <c r="BM53" s="198">
        <f t="shared" si="71"/>
        <v>0</v>
      </c>
      <c r="BN53" s="198">
        <f t="shared" si="71"/>
        <v>0</v>
      </c>
      <c r="BO53" s="198">
        <f t="shared" si="71"/>
        <v>0</v>
      </c>
      <c r="BP53" s="198">
        <f t="shared" si="71"/>
        <v>0</v>
      </c>
      <c r="BQ53" s="198">
        <f t="shared" si="71"/>
        <v>4.6057834832700211</v>
      </c>
      <c r="BR53" s="198">
        <f t="shared" si="71"/>
        <v>0</v>
      </c>
      <c r="BS53" s="198">
        <f t="shared" si="71"/>
        <v>0</v>
      </c>
      <c r="BT53" s="198">
        <f t="shared" si="71"/>
        <v>0</v>
      </c>
      <c r="BU53" s="198">
        <f t="shared" si="71"/>
        <v>0</v>
      </c>
      <c r="BV53" s="319">
        <f t="shared" si="71"/>
        <v>201</v>
      </c>
      <c r="BW53" s="198">
        <f t="shared" si="71"/>
        <v>0</v>
      </c>
      <c r="BX53" s="198">
        <f t="shared" si="71"/>
        <v>0</v>
      </c>
      <c r="BY53" s="198">
        <f t="shared" si="71"/>
        <v>0</v>
      </c>
      <c r="BZ53" s="198">
        <f t="shared" si="71"/>
        <v>0</v>
      </c>
      <c r="CA53" s="198">
        <f t="shared" si="71"/>
        <v>0</v>
      </c>
      <c r="CB53" s="198">
        <f t="shared" si="71"/>
        <v>0</v>
      </c>
      <c r="CC53" s="198">
        <f t="shared" si="71"/>
        <v>0</v>
      </c>
      <c r="CD53" s="198">
        <f t="shared" si="71"/>
        <v>0</v>
      </c>
      <c r="CE53" s="198">
        <f t="shared" si="71"/>
        <v>0</v>
      </c>
      <c r="CF53" s="198">
        <f t="shared" si="71"/>
        <v>0</v>
      </c>
      <c r="CG53" s="198">
        <f t="shared" ref="CG53:DL53" si="72">SUM(CG54:CG58)</f>
        <v>5.1488657564512703</v>
      </c>
      <c r="CH53" s="198">
        <f t="shared" si="72"/>
        <v>0</v>
      </c>
      <c r="CI53" s="198">
        <f t="shared" si="72"/>
        <v>0</v>
      </c>
      <c r="CJ53" s="198">
        <f t="shared" si="72"/>
        <v>0</v>
      </c>
      <c r="CK53" s="198">
        <f t="shared" si="72"/>
        <v>0</v>
      </c>
      <c r="CL53" s="319">
        <f t="shared" si="72"/>
        <v>213</v>
      </c>
      <c r="CM53" s="198">
        <f t="shared" si="72"/>
        <v>0</v>
      </c>
      <c r="CN53" s="198">
        <f t="shared" si="72"/>
        <v>0</v>
      </c>
      <c r="CO53" s="198">
        <f t="shared" si="72"/>
        <v>0</v>
      </c>
      <c r="CP53" s="198">
        <f t="shared" si="72"/>
        <v>0</v>
      </c>
      <c r="CQ53" s="198">
        <f t="shared" si="72"/>
        <v>0</v>
      </c>
      <c r="CR53" s="198">
        <f t="shared" si="72"/>
        <v>0</v>
      </c>
      <c r="CS53" s="198">
        <f t="shared" si="72"/>
        <v>0</v>
      </c>
      <c r="CT53" s="198">
        <f t="shared" si="72"/>
        <v>0</v>
      </c>
      <c r="CU53" s="198">
        <f t="shared" si="72"/>
        <v>0</v>
      </c>
      <c r="CV53" s="198">
        <f t="shared" si="72"/>
        <v>0</v>
      </c>
      <c r="CW53" s="198">
        <f t="shared" si="72"/>
        <v>27.582076052048038</v>
      </c>
      <c r="CX53" s="198">
        <f t="shared" si="72"/>
        <v>0</v>
      </c>
      <c r="CY53" s="198">
        <f t="shared" si="72"/>
        <v>0</v>
      </c>
      <c r="CZ53" s="198">
        <f t="shared" si="72"/>
        <v>0</v>
      </c>
      <c r="DA53" s="198">
        <f t="shared" si="72"/>
        <v>0</v>
      </c>
      <c r="DB53" s="319">
        <f t="shared" si="72"/>
        <v>1219</v>
      </c>
      <c r="DC53" s="198">
        <f t="shared" si="72"/>
        <v>0</v>
      </c>
      <c r="DD53" s="198">
        <f t="shared" si="72"/>
        <v>0</v>
      </c>
      <c r="DE53" s="198">
        <f t="shared" si="72"/>
        <v>0</v>
      </c>
      <c r="DF53" s="198">
        <f t="shared" si="72"/>
        <v>0</v>
      </c>
      <c r="DG53" s="198">
        <f t="shared" si="72"/>
        <v>0</v>
      </c>
      <c r="DH53" s="198">
        <f t="shared" si="72"/>
        <v>0</v>
      </c>
      <c r="DI53" s="198">
        <f t="shared" si="72"/>
        <v>0</v>
      </c>
      <c r="DJ53" s="198">
        <f t="shared" si="72"/>
        <v>0</v>
      </c>
      <c r="DK53" s="198">
        <f t="shared" si="72"/>
        <v>0</v>
      </c>
      <c r="DL53" s="198">
        <f t="shared" si="72"/>
        <v>0</v>
      </c>
    </row>
    <row r="54" spans="1:116" s="200" customFormat="1" outlineLevel="1" x14ac:dyDescent="0.25">
      <c r="A54" s="14" t="s">
        <v>701</v>
      </c>
      <c r="B54" s="421" t="s">
        <v>706</v>
      </c>
      <c r="C54" s="390" t="s">
        <v>728</v>
      </c>
      <c r="D54" s="198">
        <f>Ф3!K52</f>
        <v>8.1018356066666684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456"/>
      <c r="U54" s="456">
        <f>D54</f>
        <v>8.1018356066666684</v>
      </c>
      <c r="V54" s="456"/>
      <c r="W54" s="456"/>
      <c r="X54" s="456"/>
      <c r="Y54" s="456"/>
      <c r="Z54" s="459">
        <f>242+105</f>
        <v>347</v>
      </c>
      <c r="AA54" s="456"/>
      <c r="AB54" s="456"/>
      <c r="AC54" s="456"/>
      <c r="AD54" s="456"/>
      <c r="AE54" s="456"/>
      <c r="AF54" s="456"/>
      <c r="AG54" s="456"/>
      <c r="AH54" s="456"/>
      <c r="AI54" s="456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319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351">
        <f t="shared" ref="CW54:CW58" si="73">U54+AK54+BA54+BQ54+CG54</f>
        <v>8.1018356066666684</v>
      </c>
      <c r="CX54" s="198"/>
      <c r="CY54" s="198"/>
      <c r="CZ54" s="351">
        <f t="shared" ref="CZ54" si="74">X54+AN54+BD54+BT54+CJ54</f>
        <v>0</v>
      </c>
      <c r="DA54" s="351">
        <f t="shared" ref="DA54" si="75">Y54+AO54+BE54+BU54+CK54</f>
        <v>0</v>
      </c>
      <c r="DB54" s="368">
        <f t="shared" ref="DB54" si="76">Z54+AP54+BF54+BV54+CL54</f>
        <v>347</v>
      </c>
      <c r="DC54" s="351">
        <f t="shared" ref="DC54" si="77">AA54+AQ54+BG54+BW54+CM54</f>
        <v>0</v>
      </c>
      <c r="DD54" s="198"/>
      <c r="DE54" s="198"/>
      <c r="DF54" s="198"/>
      <c r="DG54" s="198"/>
      <c r="DH54" s="198"/>
      <c r="DI54" s="198"/>
      <c r="DJ54" s="319"/>
      <c r="DK54" s="198"/>
      <c r="DL54" s="198"/>
    </row>
    <row r="55" spans="1:116" s="200" customFormat="1" outlineLevel="1" x14ac:dyDescent="0.25">
      <c r="A55" s="14" t="s">
        <v>702</v>
      </c>
      <c r="B55" s="421" t="s">
        <v>706</v>
      </c>
      <c r="C55" s="390" t="s">
        <v>729</v>
      </c>
      <c r="D55" s="198">
        <f>Ф3!K53</f>
        <v>5.9443916950400002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456"/>
      <c r="AK55" s="456">
        <f>D55</f>
        <v>5.9443916950400002</v>
      </c>
      <c r="AL55" s="456"/>
      <c r="AM55" s="456"/>
      <c r="AN55" s="456"/>
      <c r="AO55" s="456"/>
      <c r="AP55" s="459">
        <f>192+95</f>
        <v>287</v>
      </c>
      <c r="AQ55" s="456"/>
      <c r="AR55" s="456"/>
      <c r="AS55" s="456"/>
      <c r="AT55" s="456"/>
      <c r="AU55" s="456"/>
      <c r="AV55" s="456"/>
      <c r="AW55" s="456"/>
      <c r="AX55" s="457"/>
      <c r="AY55" s="456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351">
        <f t="shared" si="73"/>
        <v>5.9443916950400002</v>
      </c>
      <c r="CX55" s="198"/>
      <c r="CY55" s="198"/>
      <c r="CZ55" s="351">
        <f t="shared" ref="CZ55:CZ58" si="78">X55+AN55+BD55+BT55+CJ55</f>
        <v>0</v>
      </c>
      <c r="DA55" s="351">
        <f t="shared" ref="DA55:DA58" si="79">Y55+AO55+BE55+BU55+CK55</f>
        <v>0</v>
      </c>
      <c r="DB55" s="368">
        <f t="shared" ref="DB55:DB58" si="80">Z55+AP55+BF55+BV55+CL55</f>
        <v>287</v>
      </c>
      <c r="DC55" s="351">
        <f t="shared" ref="DC55:DC58" si="81">AA55+AQ55+BG55+BW55+CM55</f>
        <v>0</v>
      </c>
      <c r="DD55" s="198"/>
      <c r="DE55" s="198"/>
      <c r="DF55" s="198"/>
      <c r="DG55" s="198"/>
      <c r="DH55" s="198"/>
      <c r="DI55" s="198"/>
      <c r="DJ55" s="319"/>
      <c r="DK55" s="198"/>
      <c r="DL55" s="198"/>
    </row>
    <row r="56" spans="1:116" s="200" customFormat="1" outlineLevel="1" x14ac:dyDescent="0.25">
      <c r="A56" s="14" t="s">
        <v>703</v>
      </c>
      <c r="B56" s="421" t="s">
        <v>706</v>
      </c>
      <c r="C56" s="390" t="s">
        <v>730</v>
      </c>
      <c r="D56" s="198">
        <f>Ф3!K54</f>
        <v>3.78119951062008</v>
      </c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319"/>
      <c r="AY56" s="198"/>
      <c r="AZ56" s="456"/>
      <c r="BA56" s="456">
        <f>D56</f>
        <v>3.78119951062008</v>
      </c>
      <c r="BB56" s="456"/>
      <c r="BC56" s="456"/>
      <c r="BD56" s="457"/>
      <c r="BE56" s="456"/>
      <c r="BF56" s="457">
        <v>171</v>
      </c>
      <c r="BG56" s="456"/>
      <c r="BH56" s="456"/>
      <c r="BI56" s="456"/>
      <c r="BJ56" s="456"/>
      <c r="BK56" s="456"/>
      <c r="BL56" s="456"/>
      <c r="BM56" s="456"/>
      <c r="BN56" s="456"/>
      <c r="BO56" s="456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351">
        <f t="shared" si="73"/>
        <v>3.78119951062008</v>
      </c>
      <c r="CX56" s="198"/>
      <c r="CY56" s="198"/>
      <c r="CZ56" s="351">
        <f t="shared" si="78"/>
        <v>0</v>
      </c>
      <c r="DA56" s="351">
        <f t="shared" si="79"/>
        <v>0</v>
      </c>
      <c r="DB56" s="368">
        <f t="shared" si="80"/>
        <v>171</v>
      </c>
      <c r="DC56" s="351">
        <f t="shared" si="81"/>
        <v>0</v>
      </c>
      <c r="DD56" s="198"/>
      <c r="DE56" s="198"/>
      <c r="DF56" s="198"/>
      <c r="DG56" s="198"/>
      <c r="DH56" s="198"/>
      <c r="DI56" s="198"/>
      <c r="DJ56" s="319"/>
      <c r="DK56" s="198"/>
      <c r="DL56" s="198"/>
    </row>
    <row r="57" spans="1:116" s="200" customFormat="1" outlineLevel="1" x14ac:dyDescent="0.25">
      <c r="A57" s="14" t="s">
        <v>704</v>
      </c>
      <c r="B57" s="421" t="s">
        <v>706</v>
      </c>
      <c r="C57" s="390" t="s">
        <v>731</v>
      </c>
      <c r="D57" s="198">
        <f>Ф3!K55</f>
        <v>4.6057834832700211</v>
      </c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319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456"/>
      <c r="BQ57" s="456">
        <f>D57</f>
        <v>4.6057834832700211</v>
      </c>
      <c r="BR57" s="456"/>
      <c r="BS57" s="456"/>
      <c r="BT57" s="456"/>
      <c r="BU57" s="457"/>
      <c r="BV57" s="457">
        <v>201</v>
      </c>
      <c r="BW57" s="456"/>
      <c r="BX57" s="456"/>
      <c r="BY57" s="456"/>
      <c r="BZ57" s="456"/>
      <c r="CA57" s="456"/>
      <c r="CB57" s="456"/>
      <c r="CC57" s="456"/>
      <c r="CD57" s="456"/>
      <c r="CE57" s="456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351">
        <f t="shared" si="73"/>
        <v>4.6057834832700211</v>
      </c>
      <c r="CX57" s="198"/>
      <c r="CY57" s="198"/>
      <c r="CZ57" s="351">
        <f t="shared" si="78"/>
        <v>0</v>
      </c>
      <c r="DA57" s="351">
        <f t="shared" si="79"/>
        <v>0</v>
      </c>
      <c r="DB57" s="368">
        <f t="shared" si="80"/>
        <v>201</v>
      </c>
      <c r="DC57" s="351">
        <f t="shared" si="81"/>
        <v>0</v>
      </c>
      <c r="DD57" s="198"/>
      <c r="DE57" s="198"/>
      <c r="DF57" s="198"/>
      <c r="DG57" s="198"/>
      <c r="DH57" s="198"/>
      <c r="DI57" s="198"/>
      <c r="DJ57" s="319"/>
      <c r="DK57" s="198"/>
      <c r="DL57" s="198"/>
    </row>
    <row r="58" spans="1:116" s="200" customFormat="1" outlineLevel="1" x14ac:dyDescent="0.25">
      <c r="A58" s="14" t="s">
        <v>705</v>
      </c>
      <c r="B58" s="421" t="s">
        <v>706</v>
      </c>
      <c r="C58" s="390" t="s">
        <v>732</v>
      </c>
      <c r="D58" s="198">
        <f>Ф3!K56</f>
        <v>5.1488657564512703</v>
      </c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319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456"/>
      <c r="CG58" s="456">
        <f>D58</f>
        <v>5.1488657564512703</v>
      </c>
      <c r="CH58" s="456"/>
      <c r="CI58" s="456"/>
      <c r="CJ58" s="456"/>
      <c r="CK58" s="456"/>
      <c r="CL58" s="457">
        <v>213</v>
      </c>
      <c r="CM58" s="456"/>
      <c r="CN58" s="456"/>
      <c r="CO58" s="456"/>
      <c r="CP58" s="456"/>
      <c r="CQ58" s="456"/>
      <c r="CR58" s="456"/>
      <c r="CS58" s="456"/>
      <c r="CT58" s="456"/>
      <c r="CU58" s="456"/>
      <c r="CV58" s="198"/>
      <c r="CW58" s="351">
        <f t="shared" si="73"/>
        <v>5.1488657564512703</v>
      </c>
      <c r="CX58" s="198"/>
      <c r="CY58" s="198"/>
      <c r="CZ58" s="351">
        <f t="shared" si="78"/>
        <v>0</v>
      </c>
      <c r="DA58" s="351">
        <f t="shared" si="79"/>
        <v>0</v>
      </c>
      <c r="DB58" s="368">
        <f t="shared" si="80"/>
        <v>213</v>
      </c>
      <c r="DC58" s="351">
        <f t="shared" si="81"/>
        <v>0</v>
      </c>
      <c r="DD58" s="198"/>
      <c r="DE58" s="198"/>
      <c r="DF58" s="198"/>
      <c r="DG58" s="198"/>
      <c r="DH58" s="198"/>
      <c r="DI58" s="198"/>
      <c r="DJ58" s="319"/>
      <c r="DK58" s="198"/>
      <c r="DL58" s="198"/>
    </row>
    <row r="59" spans="1:116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319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319"/>
      <c r="DK59" s="198"/>
      <c r="DL59" s="198"/>
    </row>
    <row r="60" spans="1:116" s="200" customFormat="1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319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319"/>
      <c r="DK60" s="198"/>
      <c r="DL60" s="198"/>
    </row>
    <row r="61" spans="1:116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319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319"/>
      <c r="DK61" s="198"/>
      <c r="DL61" s="198"/>
    </row>
    <row r="62" spans="1:116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DC62" si="82">E63</f>
        <v>0</v>
      </c>
      <c r="F62" s="198">
        <f t="shared" si="82"/>
        <v>0</v>
      </c>
      <c r="G62" s="198">
        <f t="shared" si="82"/>
        <v>0</v>
      </c>
      <c r="H62" s="198">
        <f t="shared" si="82"/>
        <v>0</v>
      </c>
      <c r="I62" s="198">
        <f t="shared" si="82"/>
        <v>0</v>
      </c>
      <c r="J62" s="198">
        <f t="shared" si="82"/>
        <v>0</v>
      </c>
      <c r="K62" s="198">
        <f t="shared" si="82"/>
        <v>0</v>
      </c>
      <c r="L62" s="198">
        <f t="shared" si="82"/>
        <v>0</v>
      </c>
      <c r="M62" s="198">
        <f t="shared" si="82"/>
        <v>0</v>
      </c>
      <c r="N62" s="198">
        <f t="shared" si="82"/>
        <v>0</v>
      </c>
      <c r="O62" s="198">
        <f t="shared" si="82"/>
        <v>0</v>
      </c>
      <c r="P62" s="198">
        <f t="shared" si="82"/>
        <v>0</v>
      </c>
      <c r="Q62" s="198">
        <f t="shared" si="82"/>
        <v>0</v>
      </c>
      <c r="R62" s="198">
        <f t="shared" si="82"/>
        <v>0</v>
      </c>
      <c r="S62" s="198">
        <f t="shared" si="82"/>
        <v>0</v>
      </c>
      <c r="T62" s="198">
        <f t="shared" si="82"/>
        <v>0</v>
      </c>
      <c r="U62" s="198">
        <f t="shared" si="82"/>
        <v>0</v>
      </c>
      <c r="V62" s="198">
        <f t="shared" si="82"/>
        <v>0</v>
      </c>
      <c r="W62" s="198">
        <f t="shared" si="82"/>
        <v>0</v>
      </c>
      <c r="X62" s="198">
        <f t="shared" si="82"/>
        <v>0</v>
      </c>
      <c r="Y62" s="198">
        <f t="shared" si="82"/>
        <v>0</v>
      </c>
      <c r="Z62" s="198"/>
      <c r="AA62" s="198">
        <f t="shared" si="82"/>
        <v>0</v>
      </c>
      <c r="AB62" s="198">
        <f t="shared" si="82"/>
        <v>0</v>
      </c>
      <c r="AC62" s="198">
        <f t="shared" si="82"/>
        <v>0</v>
      </c>
      <c r="AD62" s="198">
        <f t="shared" si="82"/>
        <v>0</v>
      </c>
      <c r="AE62" s="198">
        <f t="shared" si="82"/>
        <v>0</v>
      </c>
      <c r="AF62" s="198">
        <f t="shared" si="82"/>
        <v>0</v>
      </c>
      <c r="AG62" s="198">
        <f t="shared" si="82"/>
        <v>0</v>
      </c>
      <c r="AH62" s="198"/>
      <c r="AI62" s="198">
        <f t="shared" si="82"/>
        <v>0</v>
      </c>
      <c r="AJ62" s="198">
        <f t="shared" si="82"/>
        <v>0</v>
      </c>
      <c r="AK62" s="198">
        <f t="shared" si="82"/>
        <v>0</v>
      </c>
      <c r="AL62" s="198">
        <f t="shared" si="82"/>
        <v>0</v>
      </c>
      <c r="AM62" s="198">
        <f t="shared" si="82"/>
        <v>0</v>
      </c>
      <c r="AN62" s="198">
        <f t="shared" si="82"/>
        <v>0</v>
      </c>
      <c r="AO62" s="198">
        <f t="shared" si="82"/>
        <v>0</v>
      </c>
      <c r="AP62" s="198"/>
      <c r="AQ62" s="198">
        <f t="shared" si="82"/>
        <v>0</v>
      </c>
      <c r="AR62" s="198">
        <f t="shared" si="82"/>
        <v>0</v>
      </c>
      <c r="AS62" s="198">
        <f t="shared" si="82"/>
        <v>0</v>
      </c>
      <c r="AT62" s="198">
        <f t="shared" si="82"/>
        <v>0</v>
      </c>
      <c r="AU62" s="198">
        <f t="shared" si="82"/>
        <v>0</v>
      </c>
      <c r="AV62" s="198">
        <f t="shared" si="82"/>
        <v>0</v>
      </c>
      <c r="AW62" s="198">
        <f t="shared" si="82"/>
        <v>0</v>
      </c>
      <c r="AX62" s="319">
        <f>AX63</f>
        <v>0</v>
      </c>
      <c r="AY62" s="198">
        <f t="shared" si="82"/>
        <v>0</v>
      </c>
      <c r="AZ62" s="198">
        <f t="shared" si="82"/>
        <v>0</v>
      </c>
      <c r="BA62" s="198">
        <f t="shared" si="82"/>
        <v>0</v>
      </c>
      <c r="BB62" s="198">
        <f t="shared" si="82"/>
        <v>0</v>
      </c>
      <c r="BC62" s="198">
        <f t="shared" si="82"/>
        <v>0</v>
      </c>
      <c r="BD62" s="198">
        <f t="shared" si="82"/>
        <v>0</v>
      </c>
      <c r="BE62" s="198">
        <f t="shared" si="82"/>
        <v>0</v>
      </c>
      <c r="BF62" s="198"/>
      <c r="BG62" s="198">
        <f t="shared" si="82"/>
        <v>0</v>
      </c>
      <c r="BH62" s="198">
        <f t="shared" si="82"/>
        <v>0</v>
      </c>
      <c r="BI62" s="198">
        <f t="shared" si="82"/>
        <v>0</v>
      </c>
      <c r="BJ62" s="198">
        <f t="shared" si="82"/>
        <v>0</v>
      </c>
      <c r="BK62" s="198">
        <f t="shared" si="82"/>
        <v>0</v>
      </c>
      <c r="BL62" s="198">
        <f t="shared" si="82"/>
        <v>0</v>
      </c>
      <c r="BM62" s="198">
        <f t="shared" si="82"/>
        <v>0</v>
      </c>
      <c r="BN62" s="198"/>
      <c r="BO62" s="198">
        <f t="shared" si="82"/>
        <v>0</v>
      </c>
      <c r="BP62" s="198">
        <f t="shared" si="82"/>
        <v>0</v>
      </c>
      <c r="BQ62" s="198">
        <f t="shared" si="82"/>
        <v>0</v>
      </c>
      <c r="BR62" s="198">
        <f t="shared" si="82"/>
        <v>0</v>
      </c>
      <c r="BS62" s="198">
        <f t="shared" si="82"/>
        <v>0</v>
      </c>
      <c r="BT62" s="198">
        <f t="shared" si="82"/>
        <v>0</v>
      </c>
      <c r="BU62" s="198">
        <f t="shared" si="82"/>
        <v>0</v>
      </c>
      <c r="BV62" s="198"/>
      <c r="BW62" s="198">
        <f t="shared" si="82"/>
        <v>0</v>
      </c>
      <c r="BX62" s="198">
        <f t="shared" si="82"/>
        <v>0</v>
      </c>
      <c r="BY62" s="198">
        <f t="shared" si="82"/>
        <v>0</v>
      </c>
      <c r="BZ62" s="198">
        <f t="shared" si="82"/>
        <v>0</v>
      </c>
      <c r="CA62" s="198">
        <f t="shared" si="82"/>
        <v>0</v>
      </c>
      <c r="CB62" s="198">
        <f t="shared" si="82"/>
        <v>0</v>
      </c>
      <c r="CC62" s="198">
        <f t="shared" si="82"/>
        <v>0</v>
      </c>
      <c r="CD62" s="198"/>
      <c r="CE62" s="198">
        <f t="shared" si="82"/>
        <v>0</v>
      </c>
      <c r="CF62" s="198">
        <f t="shared" si="82"/>
        <v>0</v>
      </c>
      <c r="CG62" s="198">
        <f t="shared" si="82"/>
        <v>0</v>
      </c>
      <c r="CH62" s="198">
        <f t="shared" si="82"/>
        <v>0</v>
      </c>
      <c r="CI62" s="198">
        <f t="shared" si="82"/>
        <v>0</v>
      </c>
      <c r="CJ62" s="198">
        <f t="shared" si="82"/>
        <v>0</v>
      </c>
      <c r="CK62" s="198">
        <f t="shared" si="82"/>
        <v>0</v>
      </c>
      <c r="CL62" s="198"/>
      <c r="CM62" s="198">
        <f t="shared" si="82"/>
        <v>0</v>
      </c>
      <c r="CN62" s="198">
        <f t="shared" si="82"/>
        <v>0</v>
      </c>
      <c r="CO62" s="198">
        <f t="shared" si="82"/>
        <v>0</v>
      </c>
      <c r="CP62" s="198">
        <f t="shared" si="82"/>
        <v>0</v>
      </c>
      <c r="CQ62" s="198">
        <f t="shared" si="82"/>
        <v>0</v>
      </c>
      <c r="CR62" s="198">
        <f t="shared" si="82"/>
        <v>0</v>
      </c>
      <c r="CS62" s="198">
        <f t="shared" si="82"/>
        <v>0</v>
      </c>
      <c r="CT62" s="198"/>
      <c r="CU62" s="198">
        <f t="shared" si="82"/>
        <v>0</v>
      </c>
      <c r="CV62" s="198">
        <f t="shared" si="82"/>
        <v>0</v>
      </c>
      <c r="CW62" s="198">
        <f t="shared" si="82"/>
        <v>0</v>
      </c>
      <c r="CX62" s="198">
        <f t="shared" si="82"/>
        <v>0</v>
      </c>
      <c r="CY62" s="198">
        <f t="shared" si="82"/>
        <v>0</v>
      </c>
      <c r="CZ62" s="198">
        <f t="shared" si="82"/>
        <v>0</v>
      </c>
      <c r="DA62" s="198">
        <f t="shared" si="82"/>
        <v>0</v>
      </c>
      <c r="DB62" s="198"/>
      <c r="DC62" s="198">
        <f t="shared" si="82"/>
        <v>0</v>
      </c>
      <c r="DD62" s="198">
        <f t="shared" ref="DD62:DK62" si="83">DD63</f>
        <v>0</v>
      </c>
      <c r="DE62" s="198">
        <f t="shared" si="83"/>
        <v>0</v>
      </c>
      <c r="DF62" s="198">
        <f t="shared" si="83"/>
        <v>0</v>
      </c>
      <c r="DG62" s="198">
        <f t="shared" si="83"/>
        <v>0</v>
      </c>
      <c r="DH62" s="198">
        <f t="shared" si="83"/>
        <v>0</v>
      </c>
      <c r="DI62" s="198">
        <f t="shared" si="83"/>
        <v>0</v>
      </c>
      <c r="DJ62" s="319">
        <f t="shared" si="83"/>
        <v>0</v>
      </c>
      <c r="DK62" s="198">
        <f t="shared" si="83"/>
        <v>0</v>
      </c>
      <c r="DL62" s="198"/>
    </row>
    <row r="63" spans="1:116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67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1"/>
      <c r="CQ63" s="351"/>
      <c r="CR63" s="351"/>
      <c r="CS63" s="351"/>
      <c r="CT63" s="351"/>
      <c r="CU63" s="351"/>
      <c r="CV63" s="351"/>
      <c r="CW63" s="351"/>
      <c r="CX63" s="351"/>
      <c r="CY63" s="351"/>
      <c r="CZ63" s="351"/>
      <c r="DA63" s="351"/>
      <c r="DB63" s="351"/>
      <c r="DC63" s="351"/>
      <c r="DD63" s="351"/>
      <c r="DE63" s="351"/>
      <c r="DF63" s="351"/>
      <c r="DG63" s="351"/>
      <c r="DH63" s="351"/>
      <c r="DI63" s="351"/>
      <c r="DJ63" s="368"/>
      <c r="DK63" s="366"/>
      <c r="DL63" s="351"/>
    </row>
    <row r="64" spans="1:116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DJ64" s="322"/>
      <c r="DK64" s="322"/>
    </row>
    <row r="65" spans="1:116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  <c r="DJ65" s="323"/>
      <c r="DK65" s="323"/>
    </row>
    <row r="66" spans="1:116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  <c r="DJ66" s="323"/>
      <c r="DK66" s="323"/>
    </row>
    <row r="67" spans="1:116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  <c r="DJ67" s="324"/>
      <c r="DK67" s="324"/>
    </row>
    <row r="68" spans="1:116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  <c r="DJ68" s="323"/>
      <c r="DK68" s="323"/>
    </row>
    <row r="69" spans="1:116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  <c r="DJ69" s="323"/>
      <c r="DK69" s="323"/>
    </row>
    <row r="70" spans="1:116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  <c r="DJ70" s="325"/>
      <c r="DK70" s="325"/>
    </row>
    <row r="71" spans="1:116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  <c r="DJ71" s="324"/>
      <c r="DK71" s="324"/>
    </row>
    <row r="72" spans="1:116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  <c r="DJ72" s="324"/>
      <c r="DK72" s="324"/>
    </row>
    <row r="73" spans="1:116" s="310" customFormat="1" collapsed="1" x14ac:dyDescent="0.25">
      <c r="A73" s="20" t="s">
        <v>528</v>
      </c>
      <c r="B73" s="265" t="s">
        <v>529</v>
      </c>
      <c r="C73" s="312"/>
      <c r="D73" s="184">
        <f>SUM(D74:D75)</f>
        <v>11.428931808204101</v>
      </c>
      <c r="E73" s="184">
        <f t="shared" ref="E73:BP73" si="84">SUM(E74:E75)</f>
        <v>0</v>
      </c>
      <c r="F73" s="184">
        <f t="shared" si="84"/>
        <v>0</v>
      </c>
      <c r="G73" s="184">
        <f t="shared" si="84"/>
        <v>0</v>
      </c>
      <c r="H73" s="184">
        <f t="shared" si="84"/>
        <v>0</v>
      </c>
      <c r="I73" s="184">
        <f t="shared" si="84"/>
        <v>0</v>
      </c>
      <c r="J73" s="184">
        <f t="shared" si="84"/>
        <v>0</v>
      </c>
      <c r="K73" s="184">
        <f t="shared" si="84"/>
        <v>0</v>
      </c>
      <c r="L73" s="184">
        <f t="shared" si="84"/>
        <v>0</v>
      </c>
      <c r="M73" s="184">
        <f t="shared" si="84"/>
        <v>0</v>
      </c>
      <c r="N73" s="184">
        <f t="shared" si="84"/>
        <v>0</v>
      </c>
      <c r="O73" s="184">
        <f t="shared" si="84"/>
        <v>0</v>
      </c>
      <c r="P73" s="184">
        <f t="shared" si="84"/>
        <v>0</v>
      </c>
      <c r="Q73" s="184">
        <f t="shared" si="84"/>
        <v>0</v>
      </c>
      <c r="R73" s="184">
        <f t="shared" si="84"/>
        <v>0</v>
      </c>
      <c r="S73" s="184">
        <f t="shared" si="84"/>
        <v>0</v>
      </c>
      <c r="T73" s="184">
        <f t="shared" si="84"/>
        <v>0</v>
      </c>
      <c r="U73" s="184">
        <f t="shared" si="84"/>
        <v>0</v>
      </c>
      <c r="V73" s="184">
        <f t="shared" si="84"/>
        <v>0</v>
      </c>
      <c r="W73" s="184">
        <f t="shared" si="84"/>
        <v>0</v>
      </c>
      <c r="X73" s="184">
        <f t="shared" si="84"/>
        <v>0</v>
      </c>
      <c r="Y73" s="184">
        <f t="shared" si="84"/>
        <v>0</v>
      </c>
      <c r="Z73" s="184">
        <f t="shared" si="84"/>
        <v>0</v>
      </c>
      <c r="AA73" s="184">
        <f t="shared" si="84"/>
        <v>0</v>
      </c>
      <c r="AB73" s="184">
        <f t="shared" si="84"/>
        <v>0</v>
      </c>
      <c r="AC73" s="184">
        <f t="shared" si="84"/>
        <v>0</v>
      </c>
      <c r="AD73" s="184">
        <f t="shared" si="84"/>
        <v>0</v>
      </c>
      <c r="AE73" s="184">
        <f t="shared" si="84"/>
        <v>0</v>
      </c>
      <c r="AF73" s="184">
        <f t="shared" si="84"/>
        <v>0</v>
      </c>
      <c r="AG73" s="184">
        <f t="shared" si="84"/>
        <v>0</v>
      </c>
      <c r="AH73" s="184">
        <f t="shared" si="84"/>
        <v>0</v>
      </c>
      <c r="AI73" s="184">
        <f t="shared" si="84"/>
        <v>0</v>
      </c>
      <c r="AJ73" s="184">
        <f t="shared" si="84"/>
        <v>0</v>
      </c>
      <c r="AK73" s="184">
        <f t="shared" si="84"/>
        <v>0</v>
      </c>
      <c r="AL73" s="184">
        <f t="shared" si="84"/>
        <v>0</v>
      </c>
      <c r="AM73" s="184">
        <f t="shared" si="84"/>
        <v>0</v>
      </c>
      <c r="AN73" s="184">
        <f t="shared" si="84"/>
        <v>0</v>
      </c>
      <c r="AO73" s="184">
        <f t="shared" si="84"/>
        <v>0</v>
      </c>
      <c r="AP73" s="184">
        <f t="shared" si="84"/>
        <v>0</v>
      </c>
      <c r="AQ73" s="184">
        <f t="shared" si="84"/>
        <v>0</v>
      </c>
      <c r="AR73" s="184">
        <f t="shared" si="84"/>
        <v>0</v>
      </c>
      <c r="AS73" s="184">
        <f t="shared" si="84"/>
        <v>0</v>
      </c>
      <c r="AT73" s="184">
        <f t="shared" si="84"/>
        <v>0</v>
      </c>
      <c r="AU73" s="184">
        <f t="shared" si="84"/>
        <v>0</v>
      </c>
      <c r="AV73" s="184">
        <f t="shared" si="84"/>
        <v>0</v>
      </c>
      <c r="AW73" s="184">
        <f t="shared" si="84"/>
        <v>0</v>
      </c>
      <c r="AX73" s="184">
        <f t="shared" si="84"/>
        <v>0</v>
      </c>
      <c r="AY73" s="184">
        <f t="shared" si="84"/>
        <v>0</v>
      </c>
      <c r="AZ73" s="184">
        <f t="shared" si="84"/>
        <v>0</v>
      </c>
      <c r="BA73" s="184">
        <f t="shared" si="84"/>
        <v>6.3119269646350009</v>
      </c>
      <c r="BB73" s="184">
        <f t="shared" si="84"/>
        <v>0</v>
      </c>
      <c r="BC73" s="184">
        <f t="shared" si="84"/>
        <v>0</v>
      </c>
      <c r="BD73" s="184">
        <f t="shared" si="84"/>
        <v>0</v>
      </c>
      <c r="BE73" s="184">
        <f t="shared" si="84"/>
        <v>0</v>
      </c>
      <c r="BF73" s="184">
        <f t="shared" si="84"/>
        <v>0</v>
      </c>
      <c r="BG73" s="184">
        <f t="shared" si="84"/>
        <v>1</v>
      </c>
      <c r="BH73" s="184">
        <f t="shared" si="84"/>
        <v>0</v>
      </c>
      <c r="BI73" s="184">
        <f t="shared" si="84"/>
        <v>0</v>
      </c>
      <c r="BJ73" s="184">
        <f t="shared" si="84"/>
        <v>0</v>
      </c>
      <c r="BK73" s="184">
        <f t="shared" si="84"/>
        <v>0</v>
      </c>
      <c r="BL73" s="184">
        <f t="shared" si="84"/>
        <v>0</v>
      </c>
      <c r="BM73" s="184">
        <f t="shared" si="84"/>
        <v>0</v>
      </c>
      <c r="BN73" s="184">
        <f t="shared" si="84"/>
        <v>0</v>
      </c>
      <c r="BO73" s="184">
        <f t="shared" si="84"/>
        <v>0</v>
      </c>
      <c r="BP73" s="184">
        <f t="shared" si="84"/>
        <v>0</v>
      </c>
      <c r="BQ73" s="184">
        <f t="shared" ref="BQ73:DL73" si="85">SUM(BQ74:BQ75)</f>
        <v>5.1170048435690996</v>
      </c>
      <c r="BR73" s="184">
        <f t="shared" si="85"/>
        <v>0</v>
      </c>
      <c r="BS73" s="184">
        <f t="shared" si="85"/>
        <v>0</v>
      </c>
      <c r="BT73" s="184">
        <f t="shared" si="85"/>
        <v>0</v>
      </c>
      <c r="BU73" s="184">
        <f t="shared" si="85"/>
        <v>0</v>
      </c>
      <c r="BV73" s="184">
        <f t="shared" si="85"/>
        <v>0</v>
      </c>
      <c r="BW73" s="184">
        <f t="shared" si="85"/>
        <v>1</v>
      </c>
      <c r="BX73" s="184">
        <f t="shared" si="85"/>
        <v>0</v>
      </c>
      <c r="BY73" s="184">
        <f t="shared" si="85"/>
        <v>0</v>
      </c>
      <c r="BZ73" s="184">
        <f t="shared" si="85"/>
        <v>0</v>
      </c>
      <c r="CA73" s="184">
        <f t="shared" si="85"/>
        <v>0</v>
      </c>
      <c r="CB73" s="184">
        <f t="shared" si="85"/>
        <v>0</v>
      </c>
      <c r="CC73" s="184">
        <f t="shared" si="85"/>
        <v>0</v>
      </c>
      <c r="CD73" s="184">
        <f t="shared" si="85"/>
        <v>0</v>
      </c>
      <c r="CE73" s="184">
        <f t="shared" si="85"/>
        <v>0</v>
      </c>
      <c r="CF73" s="184">
        <f t="shared" si="85"/>
        <v>0</v>
      </c>
      <c r="CG73" s="184">
        <f t="shared" si="85"/>
        <v>0</v>
      </c>
      <c r="CH73" s="184">
        <f t="shared" si="85"/>
        <v>0</v>
      </c>
      <c r="CI73" s="184">
        <f t="shared" si="85"/>
        <v>0</v>
      </c>
      <c r="CJ73" s="184">
        <f t="shared" si="85"/>
        <v>0</v>
      </c>
      <c r="CK73" s="184">
        <f t="shared" si="85"/>
        <v>0</v>
      </c>
      <c r="CL73" s="184">
        <f t="shared" si="85"/>
        <v>0</v>
      </c>
      <c r="CM73" s="184">
        <f t="shared" si="85"/>
        <v>0</v>
      </c>
      <c r="CN73" s="184">
        <f t="shared" si="85"/>
        <v>0</v>
      </c>
      <c r="CO73" s="184">
        <f t="shared" si="85"/>
        <v>0</v>
      </c>
      <c r="CP73" s="184">
        <f t="shared" si="85"/>
        <v>0</v>
      </c>
      <c r="CQ73" s="184">
        <f t="shared" si="85"/>
        <v>0</v>
      </c>
      <c r="CR73" s="184">
        <f t="shared" si="85"/>
        <v>0</v>
      </c>
      <c r="CS73" s="184">
        <f t="shared" si="85"/>
        <v>0</v>
      </c>
      <c r="CT73" s="184">
        <f t="shared" si="85"/>
        <v>0</v>
      </c>
      <c r="CU73" s="184">
        <f t="shared" si="85"/>
        <v>0</v>
      </c>
      <c r="CV73" s="184">
        <f t="shared" si="85"/>
        <v>0</v>
      </c>
      <c r="CW73" s="184">
        <f t="shared" si="85"/>
        <v>11.428931808204101</v>
      </c>
      <c r="CX73" s="184">
        <f t="shared" si="85"/>
        <v>0</v>
      </c>
      <c r="CY73" s="184">
        <f t="shared" si="85"/>
        <v>0</v>
      </c>
      <c r="CZ73" s="184">
        <f t="shared" si="85"/>
        <v>0</v>
      </c>
      <c r="DA73" s="184">
        <f t="shared" si="85"/>
        <v>0</v>
      </c>
      <c r="DB73" s="184">
        <f t="shared" si="85"/>
        <v>0</v>
      </c>
      <c r="DC73" s="320">
        <f t="shared" si="85"/>
        <v>2</v>
      </c>
      <c r="DD73" s="184">
        <f t="shared" si="85"/>
        <v>0</v>
      </c>
      <c r="DE73" s="184">
        <f t="shared" si="85"/>
        <v>0</v>
      </c>
      <c r="DF73" s="184">
        <f t="shared" si="85"/>
        <v>0</v>
      </c>
      <c r="DG73" s="184">
        <f t="shared" si="85"/>
        <v>0</v>
      </c>
      <c r="DH73" s="184">
        <f t="shared" si="85"/>
        <v>0</v>
      </c>
      <c r="DI73" s="184">
        <f t="shared" si="85"/>
        <v>0</v>
      </c>
      <c r="DJ73" s="184">
        <f t="shared" si="85"/>
        <v>0</v>
      </c>
      <c r="DK73" s="184">
        <f t="shared" si="85"/>
        <v>0</v>
      </c>
      <c r="DL73" s="184">
        <f t="shared" si="85"/>
        <v>0</v>
      </c>
    </row>
    <row r="74" spans="1:116" s="345" customFormat="1" x14ac:dyDescent="0.25">
      <c r="A74" s="341" t="s">
        <v>530</v>
      </c>
      <c r="B74" s="419" t="s">
        <v>708</v>
      </c>
      <c r="C74" s="390" t="s">
        <v>733</v>
      </c>
      <c r="D74" s="198">
        <f>Ф3!K72</f>
        <v>6.3119269646350009</v>
      </c>
      <c r="E74" s="357">
        <f>Ф3!AN71</f>
        <v>0</v>
      </c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1"/>
      <c r="V74" s="357"/>
      <c r="W74" s="357"/>
      <c r="X74" s="357"/>
      <c r="Y74" s="357"/>
      <c r="Z74" s="357"/>
      <c r="AA74" s="357"/>
      <c r="AB74" s="357"/>
      <c r="AC74" s="351">
        <v>0</v>
      </c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>
        <f>E74</f>
        <v>0</v>
      </c>
      <c r="AT74" s="357"/>
      <c r="AU74" s="357"/>
      <c r="AV74" s="357"/>
      <c r="AW74" s="357"/>
      <c r="AX74" s="357"/>
      <c r="AY74" s="365">
        <v>0</v>
      </c>
      <c r="AZ74" s="458"/>
      <c r="BA74" s="456">
        <f>D74</f>
        <v>6.3119269646350009</v>
      </c>
      <c r="BB74" s="458"/>
      <c r="BC74" s="458"/>
      <c r="BD74" s="458"/>
      <c r="BE74" s="458"/>
      <c r="BF74" s="457"/>
      <c r="BG74" s="457">
        <v>1</v>
      </c>
      <c r="BH74" s="458"/>
      <c r="BI74" s="458"/>
      <c r="BJ74" s="458"/>
      <c r="BK74" s="458"/>
      <c r="BL74" s="458"/>
      <c r="BM74" s="458"/>
      <c r="BN74" s="458"/>
      <c r="BO74" s="458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1">
        <f t="shared" ref="CW74:CW75" si="86">U74+AK74+BA74+BQ74+CG74</f>
        <v>6.3119269646350009</v>
      </c>
      <c r="CX74" s="351">
        <f t="shared" ref="CX74" si="87">V74+AL74+BB74</f>
        <v>0</v>
      </c>
      <c r="CY74" s="351">
        <f t="shared" ref="CY74" si="88">W74+AM74+BC74</f>
        <v>0</v>
      </c>
      <c r="CZ74" s="351">
        <f t="shared" ref="CZ74" si="89">X74+AN74+BD74+BT74+CJ74</f>
        <v>0</v>
      </c>
      <c r="DA74" s="351">
        <f t="shared" ref="DA74" si="90">Y74+AO74+BE74+BU74+CK74</f>
        <v>0</v>
      </c>
      <c r="DB74" s="368">
        <f t="shared" ref="DB74" si="91">Z74+AP74+BF74+BV74+CL74</f>
        <v>0</v>
      </c>
      <c r="DC74" s="368">
        <f t="shared" ref="DC74" si="92">AA74+AQ74+BG74+BW74+CM74</f>
        <v>1</v>
      </c>
      <c r="DD74" s="357"/>
      <c r="DE74" s="351">
        <f>AC74+AS74+BI74</f>
        <v>0</v>
      </c>
      <c r="DF74" s="351">
        <f t="shared" ref="DF74" si="93">AD74+AT74+BJ74</f>
        <v>0</v>
      </c>
      <c r="DG74" s="351">
        <f t="shared" ref="DG74" si="94">AE74+AU74+BK74</f>
        <v>0</v>
      </c>
      <c r="DH74" s="351">
        <f t="shared" ref="DH74" si="95">AF74+AV74+BL74</f>
        <v>0</v>
      </c>
      <c r="DI74" s="351">
        <f t="shared" ref="DI74" si="96">AG74+AW74+BM74</f>
        <v>0</v>
      </c>
      <c r="DJ74" s="366">
        <f t="shared" ref="DJ74" si="97">AH74+AX74+BN74</f>
        <v>0</v>
      </c>
      <c r="DK74" s="366">
        <f t="shared" ref="DK74" si="98">AI74+AY74+BO74</f>
        <v>0</v>
      </c>
      <c r="DL74" s="357"/>
    </row>
    <row r="75" spans="1:116" s="345" customFormat="1" x14ac:dyDescent="0.25">
      <c r="A75" s="341" t="s">
        <v>707</v>
      </c>
      <c r="B75" s="419" t="s">
        <v>709</v>
      </c>
      <c r="C75" s="390" t="s">
        <v>734</v>
      </c>
      <c r="D75" s="198">
        <f>Ф3!K73</f>
        <v>5.1170048435690996</v>
      </c>
      <c r="E75" s="357">
        <f>Ф3!AN72</f>
        <v>0</v>
      </c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1"/>
      <c r="V75" s="357"/>
      <c r="W75" s="357"/>
      <c r="X75" s="357"/>
      <c r="Y75" s="357"/>
      <c r="Z75" s="357"/>
      <c r="AA75" s="357"/>
      <c r="AB75" s="357"/>
      <c r="AC75" s="351">
        <v>0</v>
      </c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>
        <f>E75</f>
        <v>0</v>
      </c>
      <c r="AT75" s="357"/>
      <c r="AU75" s="357"/>
      <c r="AV75" s="357"/>
      <c r="AW75" s="357"/>
      <c r="AX75" s="357"/>
      <c r="AY75" s="365">
        <v>0</v>
      </c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458"/>
      <c r="BQ75" s="456">
        <f>D75</f>
        <v>5.1170048435690996</v>
      </c>
      <c r="BR75" s="458"/>
      <c r="BS75" s="458"/>
      <c r="BT75" s="458"/>
      <c r="BU75" s="458"/>
      <c r="BV75" s="458"/>
      <c r="BW75" s="457">
        <v>1</v>
      </c>
      <c r="BX75" s="458"/>
      <c r="BY75" s="458"/>
      <c r="BZ75" s="458"/>
      <c r="CA75" s="458"/>
      <c r="CB75" s="458"/>
      <c r="CC75" s="458"/>
      <c r="CD75" s="458"/>
      <c r="CE75" s="458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1">
        <f t="shared" si="86"/>
        <v>5.1170048435690996</v>
      </c>
      <c r="CX75" s="351">
        <f t="shared" ref="CX75" si="99">V75+AL75+BB75</f>
        <v>0</v>
      </c>
      <c r="CY75" s="351">
        <f t="shared" ref="CY75" si="100">W75+AM75+BC75</f>
        <v>0</v>
      </c>
      <c r="CZ75" s="351">
        <f t="shared" ref="CZ75" si="101">X75+AN75+BD75+BT75+CJ75</f>
        <v>0</v>
      </c>
      <c r="DA75" s="351">
        <f t="shared" ref="DA75" si="102">Y75+AO75+BE75+BU75+CK75</f>
        <v>0</v>
      </c>
      <c r="DB75" s="368">
        <f t="shared" ref="DB75" si="103">Z75+AP75+BF75+BV75+CL75</f>
        <v>0</v>
      </c>
      <c r="DC75" s="368">
        <f t="shared" ref="DC75" si="104">AA75+AQ75+BG75+BW75+CM75</f>
        <v>1</v>
      </c>
      <c r="DD75" s="357"/>
      <c r="DE75" s="351">
        <f>AC75+AS75+BI75</f>
        <v>0</v>
      </c>
      <c r="DF75" s="351">
        <f t="shared" ref="DF75" si="105">AD75+AT75+BJ75</f>
        <v>0</v>
      </c>
      <c r="DG75" s="351">
        <f t="shared" ref="DG75" si="106">AE75+AU75+BK75</f>
        <v>0</v>
      </c>
      <c r="DH75" s="351">
        <f t="shared" ref="DH75" si="107">AF75+AV75+BL75</f>
        <v>0</v>
      </c>
      <c r="DI75" s="351">
        <f t="shared" ref="DI75" si="108">AG75+AW75+BM75</f>
        <v>0</v>
      </c>
      <c r="DJ75" s="366">
        <f t="shared" ref="DJ75:DK75" si="109">AH75+AX75+BN75</f>
        <v>0</v>
      </c>
      <c r="DK75" s="366">
        <f t="shared" si="109"/>
        <v>0</v>
      </c>
      <c r="DL75" s="357"/>
    </row>
    <row r="78" spans="1:116" ht="18.75" x14ac:dyDescent="0.25">
      <c r="B78" s="278" t="s">
        <v>77</v>
      </c>
      <c r="C78" s="279"/>
      <c r="D78" s="279"/>
      <c r="E78" s="279" t="s">
        <v>668</v>
      </c>
    </row>
    <row r="79" spans="1:116" ht="18.75" x14ac:dyDescent="0.25">
      <c r="B79" s="278"/>
      <c r="C79" s="279"/>
      <c r="D79" s="279"/>
      <c r="E79" s="279"/>
    </row>
    <row r="80" spans="1:116" ht="18.75" x14ac:dyDescent="0.25">
      <c r="B80" s="278"/>
      <c r="C80" s="279"/>
      <c r="D80" s="279"/>
      <c r="E80" s="279"/>
    </row>
    <row r="83" spans="1:35" s="41" customFormat="1" x14ac:dyDescent="0.25">
      <c r="A83" s="613" t="s">
        <v>207</v>
      </c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136"/>
      <c r="R83" s="161"/>
      <c r="S83" s="161"/>
      <c r="T83" s="161"/>
      <c r="U83" s="161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</row>
    <row r="84" spans="1:35" s="41" customFormat="1" x14ac:dyDescent="0.25">
      <c r="A84" s="614" t="s">
        <v>208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162"/>
      <c r="S84" s="162"/>
      <c r="T84" s="162"/>
      <c r="U84" s="162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</row>
    <row r="85" spans="1:35" s="41" customFormat="1" x14ac:dyDescent="0.25">
      <c r="A85" s="614" t="s">
        <v>209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139"/>
      <c r="R85" s="162"/>
      <c r="S85" s="162"/>
      <c r="T85" s="162"/>
      <c r="U85" s="162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</row>
    <row r="86" spans="1:35" s="41" customFormat="1" x14ac:dyDescent="0.25">
      <c r="A86" s="614" t="s">
        <v>210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139"/>
      <c r="R86" s="162"/>
      <c r="S86" s="162"/>
      <c r="T86" s="162"/>
      <c r="U86" s="162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</row>
    <row r="90" spans="1:35" x14ac:dyDescent="0.25">
      <c r="B90" s="460" t="s">
        <v>758</v>
      </c>
      <c r="C90" s="460" t="str">
        <f>IF(D17=Ф3!AM15,"ОК","ОШИБКА")</f>
        <v>ОК</v>
      </c>
    </row>
  </sheetData>
  <mergeCells count="57">
    <mergeCell ref="BP13:BW13"/>
    <mergeCell ref="BX13:CE13"/>
    <mergeCell ref="BQ14:BW14"/>
    <mergeCell ref="BY14:CE14"/>
    <mergeCell ref="E14:E15"/>
    <mergeCell ref="G14:L14"/>
    <mergeCell ref="N14:S14"/>
    <mergeCell ref="U14:AA14"/>
    <mergeCell ref="BA14:BG14"/>
    <mergeCell ref="DL11:DL15"/>
    <mergeCell ref="T12:AI12"/>
    <mergeCell ref="AJ12:AY12"/>
    <mergeCell ref="AZ12:BO12"/>
    <mergeCell ref="CV12:DK12"/>
    <mergeCell ref="BI14:BO14"/>
    <mergeCell ref="CW14:DC14"/>
    <mergeCell ref="DE14:DK14"/>
    <mergeCell ref="CV13:DC13"/>
    <mergeCell ref="DD13:DK13"/>
    <mergeCell ref="CF12:CU12"/>
    <mergeCell ref="CF13:CM13"/>
    <mergeCell ref="CN13:CU13"/>
    <mergeCell ref="CG14:CM14"/>
    <mergeCell ref="CO14:CU14"/>
    <mergeCell ref="BP12:CE12"/>
    <mergeCell ref="C11:C15"/>
    <mergeCell ref="D11:E13"/>
    <mergeCell ref="F11:S12"/>
    <mergeCell ref="T11:DK11"/>
    <mergeCell ref="AR13:AY13"/>
    <mergeCell ref="AZ13:BG13"/>
    <mergeCell ref="BH13:BO13"/>
    <mergeCell ref="F13:L13"/>
    <mergeCell ref="M13:S13"/>
    <mergeCell ref="T13:AA13"/>
    <mergeCell ref="AB13:AI13"/>
    <mergeCell ref="AJ13:AQ13"/>
    <mergeCell ref="AC14:AI14"/>
    <mergeCell ref="AK14:AQ14"/>
    <mergeCell ref="AS14:AY14"/>
    <mergeCell ref="D14:D15"/>
    <mergeCell ref="A85:P85"/>
    <mergeCell ref="A86:P86"/>
    <mergeCell ref="A1:S1"/>
    <mergeCell ref="A2:S2"/>
    <mergeCell ref="A3:S3"/>
    <mergeCell ref="A4:S4"/>
    <mergeCell ref="A5:S5"/>
    <mergeCell ref="A6:S6"/>
    <mergeCell ref="A7:S7"/>
    <mergeCell ref="A8:S8"/>
    <mergeCell ref="A83:P83"/>
    <mergeCell ref="A84:P84"/>
    <mergeCell ref="A9:S9"/>
    <mergeCell ref="A10:DI10"/>
    <mergeCell ref="A11:A15"/>
    <mergeCell ref="B11:B15"/>
  </mergeCells>
  <pageMargins left="0.70866141732283472" right="0.70866141732283472" top="0.74803149606299213" bottom="0.74803149606299213" header="0.31496062992125984" footer="0.31496062992125984"/>
  <pageSetup paperSize="8" scale="64" fitToWidth="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6"/>
  <sheetViews>
    <sheetView topLeftCell="C13" zoomScale="70" zoomScaleNormal="70" workbookViewId="0">
      <selection activeCell="A9" sqref="A9:AN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50" bestFit="1" customWidth="1"/>
    <col min="6" max="6" width="6.7109375" style="50" bestFit="1" customWidth="1"/>
    <col min="7" max="9" width="6.7109375" bestFit="1" customWidth="1"/>
    <col min="10" max="10" width="6.7109375" style="55" bestFit="1" customWidth="1"/>
    <col min="11" max="11" width="18.85546875" customWidth="1"/>
    <col min="12" max="12" width="7.42578125" bestFit="1" customWidth="1"/>
    <col min="13" max="13" width="6.7109375" style="55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8.5703125" bestFit="1" customWidth="1"/>
    <col min="27" max="29" width="6.7109375" bestFit="1" customWidth="1"/>
    <col min="30" max="30" width="8.7109375" customWidth="1"/>
    <col min="31" max="31" width="7.140625" customWidth="1"/>
    <col min="32" max="32" width="6.7109375" bestFit="1" customWidth="1"/>
    <col min="33" max="33" width="19" customWidth="1"/>
    <col min="34" max="34" width="10.42578125" customWidth="1"/>
    <col min="35" max="37" width="6.7109375" bestFit="1" customWidth="1"/>
    <col min="38" max="38" width="8.28515625" customWidth="1"/>
    <col min="39" max="39" width="6.7109375" customWidth="1"/>
    <col min="40" max="40" width="6.7109375" bestFit="1" customWidth="1"/>
  </cols>
  <sheetData>
    <row r="1" spans="1:40" s="41" customFormat="1" ht="18.75" x14ac:dyDescent="0.3">
      <c r="A1" s="647" t="s">
        <v>313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</row>
    <row r="2" spans="1:40" s="41" customFormat="1" ht="18.75" x14ac:dyDescent="0.3">
      <c r="A2" s="605" t="s">
        <v>767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</row>
    <row r="3" spans="1:40" s="41" customForma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432"/>
      <c r="AF3" s="166"/>
      <c r="AG3" s="166"/>
      <c r="AH3" s="166"/>
      <c r="AI3" s="166"/>
      <c r="AJ3" s="166"/>
      <c r="AK3" s="166"/>
      <c r="AL3" s="166"/>
      <c r="AM3" s="432"/>
      <c r="AN3" s="166"/>
    </row>
    <row r="4" spans="1:40" s="41" customFormat="1" ht="18.75" x14ac:dyDescent="0.25">
      <c r="A4" s="603" t="s">
        <v>123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</row>
    <row r="5" spans="1:40" s="41" customFormat="1" x14ac:dyDescent="0.25">
      <c r="A5" s="606" t="s">
        <v>124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</row>
    <row r="6" spans="1:40" s="41" customFormat="1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423"/>
      <c r="AF6" s="160"/>
      <c r="AG6" s="160"/>
      <c r="AH6" s="160"/>
      <c r="AI6" s="160"/>
      <c r="AJ6" s="160"/>
      <c r="AK6" s="160"/>
      <c r="AL6" s="160"/>
      <c r="AM6" s="423"/>
      <c r="AN6" s="160"/>
    </row>
    <row r="7" spans="1:40" s="41" customFormat="1" x14ac:dyDescent="0.25">
      <c r="A7" s="601" t="s">
        <v>768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</row>
    <row r="8" spans="1:40" s="41" customFormat="1" ht="18.75" x14ac:dyDescent="0.3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422"/>
      <c r="AF8" s="159"/>
      <c r="AG8" s="159"/>
      <c r="AH8" s="159"/>
      <c r="AI8" s="159"/>
      <c r="AJ8" s="159"/>
      <c r="AK8" s="159"/>
      <c r="AL8" s="159"/>
      <c r="AM8" s="422"/>
      <c r="AN8" s="159"/>
    </row>
    <row r="9" spans="1:40" s="41" customFormat="1" ht="18.75" x14ac:dyDescent="0.25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</row>
    <row r="10" spans="1:40" s="41" customFormat="1" x14ac:dyDescent="0.25">
      <c r="A10" s="642" t="s">
        <v>226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</row>
    <row r="11" spans="1:40" s="41" customFormat="1" x14ac:dyDescent="0.25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</row>
    <row r="12" spans="1:40" s="41" customFormat="1" x14ac:dyDescent="0.25">
      <c r="A12" s="644" t="s">
        <v>4</v>
      </c>
      <c r="B12" s="644" t="s">
        <v>5</v>
      </c>
      <c r="C12" s="644" t="s">
        <v>6</v>
      </c>
      <c r="D12" s="645" t="s">
        <v>314</v>
      </c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</row>
    <row r="13" spans="1:40" s="41" customFormat="1" x14ac:dyDescent="0.25">
      <c r="A13" s="644"/>
      <c r="B13" s="644"/>
      <c r="C13" s="644"/>
      <c r="D13" s="645" t="s">
        <v>315</v>
      </c>
      <c r="E13" s="645"/>
      <c r="F13" s="645"/>
      <c r="G13" s="645"/>
      <c r="H13" s="645"/>
      <c r="I13" s="645"/>
      <c r="J13" s="645"/>
      <c r="K13" s="645" t="s">
        <v>316</v>
      </c>
      <c r="L13" s="645"/>
      <c r="M13" s="645"/>
      <c r="N13" s="645"/>
      <c r="O13" s="645"/>
      <c r="P13" s="645"/>
      <c r="Q13" s="645"/>
      <c r="R13" s="645" t="s">
        <v>317</v>
      </c>
      <c r="S13" s="645"/>
      <c r="T13" s="645"/>
      <c r="U13" s="645"/>
      <c r="V13" s="645"/>
      <c r="W13" s="645"/>
      <c r="X13" s="645"/>
      <c r="Y13" s="645" t="s">
        <v>318</v>
      </c>
      <c r="Z13" s="645"/>
      <c r="AA13" s="645"/>
      <c r="AB13" s="645"/>
      <c r="AC13" s="645"/>
      <c r="AD13" s="645"/>
      <c r="AE13" s="645"/>
      <c r="AF13" s="645"/>
      <c r="AG13" s="644" t="s">
        <v>319</v>
      </c>
      <c r="AH13" s="644"/>
      <c r="AI13" s="644"/>
      <c r="AJ13" s="644"/>
      <c r="AK13" s="644"/>
      <c r="AL13" s="644"/>
      <c r="AM13" s="644"/>
      <c r="AN13" s="644"/>
    </row>
    <row r="14" spans="1:40" s="41" customFormat="1" ht="31.5" x14ac:dyDescent="0.25">
      <c r="A14" s="644"/>
      <c r="B14" s="644"/>
      <c r="C14" s="644"/>
      <c r="D14" s="175" t="s">
        <v>234</v>
      </c>
      <c r="E14" s="645" t="s">
        <v>235</v>
      </c>
      <c r="F14" s="645"/>
      <c r="G14" s="645"/>
      <c r="H14" s="645"/>
      <c r="I14" s="645"/>
      <c r="J14" s="645"/>
      <c r="K14" s="175" t="s">
        <v>234</v>
      </c>
      <c r="L14" s="644" t="s">
        <v>235</v>
      </c>
      <c r="M14" s="644"/>
      <c r="N14" s="644"/>
      <c r="O14" s="644"/>
      <c r="P14" s="644"/>
      <c r="Q14" s="644"/>
      <c r="R14" s="175" t="s">
        <v>234</v>
      </c>
      <c r="S14" s="644" t="s">
        <v>235</v>
      </c>
      <c r="T14" s="644"/>
      <c r="U14" s="644"/>
      <c r="V14" s="644"/>
      <c r="W14" s="644"/>
      <c r="X14" s="644"/>
      <c r="Y14" s="175" t="s">
        <v>234</v>
      </c>
      <c r="Z14" s="644" t="s">
        <v>235</v>
      </c>
      <c r="AA14" s="644"/>
      <c r="AB14" s="644"/>
      <c r="AC14" s="644"/>
      <c r="AD14" s="644"/>
      <c r="AE14" s="644"/>
      <c r="AF14" s="644"/>
      <c r="AG14" s="175" t="s">
        <v>234</v>
      </c>
      <c r="AH14" s="644" t="s">
        <v>235</v>
      </c>
      <c r="AI14" s="644"/>
      <c r="AJ14" s="644"/>
      <c r="AK14" s="644"/>
      <c r="AL14" s="644"/>
      <c r="AM14" s="644"/>
      <c r="AN14" s="644"/>
    </row>
    <row r="15" spans="1:40" s="41" customFormat="1" ht="63.75" x14ac:dyDescent="0.25">
      <c r="A15" s="644"/>
      <c r="B15" s="644"/>
      <c r="C15" s="644"/>
      <c r="D15" s="163" t="s">
        <v>236</v>
      </c>
      <c r="E15" s="163" t="s">
        <v>236</v>
      </c>
      <c r="F15" s="176" t="s">
        <v>237</v>
      </c>
      <c r="G15" s="176" t="s">
        <v>238</v>
      </c>
      <c r="H15" s="176" t="s">
        <v>239</v>
      </c>
      <c r="I15" s="176" t="s">
        <v>240</v>
      </c>
      <c r="J15" s="176" t="s">
        <v>241</v>
      </c>
      <c r="K15" s="163" t="s">
        <v>236</v>
      </c>
      <c r="L15" s="163" t="s">
        <v>236</v>
      </c>
      <c r="M15" s="176" t="s">
        <v>237</v>
      </c>
      <c r="N15" s="176" t="s">
        <v>238</v>
      </c>
      <c r="O15" s="176" t="s">
        <v>239</v>
      </c>
      <c r="P15" s="176" t="s">
        <v>240</v>
      </c>
      <c r="Q15" s="176" t="s">
        <v>241</v>
      </c>
      <c r="R15" s="163" t="s">
        <v>236</v>
      </c>
      <c r="S15" s="163" t="s">
        <v>236</v>
      </c>
      <c r="T15" s="176" t="s">
        <v>237</v>
      </c>
      <c r="U15" s="176" t="s">
        <v>238</v>
      </c>
      <c r="V15" s="176" t="s">
        <v>239</v>
      </c>
      <c r="W15" s="176" t="s">
        <v>240</v>
      </c>
      <c r="X15" s="176" t="s">
        <v>241</v>
      </c>
      <c r="Y15" s="163" t="s">
        <v>236</v>
      </c>
      <c r="Z15" s="163" t="s">
        <v>236</v>
      </c>
      <c r="AA15" s="176" t="s">
        <v>237</v>
      </c>
      <c r="AB15" s="176" t="s">
        <v>238</v>
      </c>
      <c r="AC15" s="176" t="s">
        <v>239</v>
      </c>
      <c r="AD15" s="176" t="s">
        <v>240</v>
      </c>
      <c r="AE15" s="429" t="s">
        <v>572</v>
      </c>
      <c r="AF15" s="429" t="s">
        <v>573</v>
      </c>
      <c r="AG15" s="163" t="s">
        <v>236</v>
      </c>
      <c r="AH15" s="163" t="s">
        <v>236</v>
      </c>
      <c r="AI15" s="176" t="s">
        <v>237</v>
      </c>
      <c r="AJ15" s="176" t="s">
        <v>238</v>
      </c>
      <c r="AK15" s="176" t="s">
        <v>239</v>
      </c>
      <c r="AL15" s="176" t="s">
        <v>240</v>
      </c>
      <c r="AM15" s="429" t="s">
        <v>572</v>
      </c>
      <c r="AN15" s="429" t="s">
        <v>573</v>
      </c>
    </row>
    <row r="16" spans="1:40" s="41" customFormat="1" x14ac:dyDescent="0.25">
      <c r="A16" s="177">
        <v>1</v>
      </c>
      <c r="B16" s="177">
        <v>2</v>
      </c>
      <c r="C16" s="177">
        <v>3</v>
      </c>
      <c r="D16" s="178" t="s">
        <v>320</v>
      </c>
      <c r="E16" s="178" t="s">
        <v>321</v>
      </c>
      <c r="F16" s="178" t="s">
        <v>322</v>
      </c>
      <c r="G16" s="178" t="s">
        <v>323</v>
      </c>
      <c r="H16" s="178" t="s">
        <v>324</v>
      </c>
      <c r="I16" s="178" t="s">
        <v>325</v>
      </c>
      <c r="J16" s="178" t="s">
        <v>326</v>
      </c>
      <c r="K16" s="178" t="s">
        <v>327</v>
      </c>
      <c r="L16" s="178" t="s">
        <v>328</v>
      </c>
      <c r="M16" s="178" t="s">
        <v>329</v>
      </c>
      <c r="N16" s="178" t="s">
        <v>330</v>
      </c>
      <c r="O16" s="178" t="s">
        <v>331</v>
      </c>
      <c r="P16" s="178" t="s">
        <v>332</v>
      </c>
      <c r="Q16" s="178" t="s">
        <v>333</v>
      </c>
      <c r="R16" s="178" t="s">
        <v>334</v>
      </c>
      <c r="S16" s="178" t="s">
        <v>335</v>
      </c>
      <c r="T16" s="178" t="s">
        <v>336</v>
      </c>
      <c r="U16" s="178" t="s">
        <v>337</v>
      </c>
      <c r="V16" s="178" t="s">
        <v>338</v>
      </c>
      <c r="W16" s="178" t="s">
        <v>339</v>
      </c>
      <c r="X16" s="178" t="s">
        <v>340</v>
      </c>
      <c r="Y16" s="178" t="s">
        <v>341</v>
      </c>
      <c r="Z16" s="178" t="s">
        <v>342</v>
      </c>
      <c r="AA16" s="178" t="s">
        <v>343</v>
      </c>
      <c r="AB16" s="178" t="s">
        <v>344</v>
      </c>
      <c r="AC16" s="178" t="s">
        <v>345</v>
      </c>
      <c r="AD16" s="178" t="s">
        <v>346</v>
      </c>
      <c r="AE16" s="178"/>
      <c r="AF16" s="178" t="s">
        <v>347</v>
      </c>
      <c r="AG16" s="178" t="s">
        <v>348</v>
      </c>
      <c r="AH16" s="178" t="s">
        <v>349</v>
      </c>
      <c r="AI16" s="178" t="s">
        <v>350</v>
      </c>
      <c r="AJ16" s="178" t="s">
        <v>351</v>
      </c>
      <c r="AK16" s="178" t="s">
        <v>312</v>
      </c>
      <c r="AL16" s="178" t="s">
        <v>352</v>
      </c>
      <c r="AM16" s="178"/>
      <c r="AN16" s="178" t="s">
        <v>353</v>
      </c>
    </row>
    <row r="17" spans="1:40" s="185" customFormat="1" x14ac:dyDescent="0.25">
      <c r="A17" s="183" t="s">
        <v>33</v>
      </c>
      <c r="B17" s="64" t="s">
        <v>34</v>
      </c>
      <c r="C17" s="184">
        <v>0</v>
      </c>
      <c r="D17" s="184">
        <f>D18</f>
        <v>0</v>
      </c>
      <c r="E17" s="184">
        <f t="shared" ref="E17:AL17" si="0">E18</f>
        <v>0</v>
      </c>
      <c r="F17" s="184">
        <f t="shared" si="0"/>
        <v>0</v>
      </c>
      <c r="G17" s="184">
        <f t="shared" si="0"/>
        <v>0</v>
      </c>
      <c r="H17" s="184">
        <f t="shared" si="0"/>
        <v>0</v>
      </c>
      <c r="I17" s="184">
        <f t="shared" si="0"/>
        <v>0</v>
      </c>
      <c r="J17" s="184">
        <f t="shared" si="0"/>
        <v>0</v>
      </c>
      <c r="K17" s="184">
        <f t="shared" si="0"/>
        <v>0</v>
      </c>
      <c r="L17" s="184">
        <f t="shared" si="0"/>
        <v>0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184">
        <f t="shared" si="0"/>
        <v>0</v>
      </c>
      <c r="Q17" s="184">
        <f t="shared" si="0"/>
        <v>0</v>
      </c>
      <c r="R17" s="184">
        <f t="shared" si="0"/>
        <v>0</v>
      </c>
      <c r="S17" s="184">
        <f t="shared" si="0"/>
        <v>0</v>
      </c>
      <c r="T17" s="184">
        <f t="shared" si="0"/>
        <v>0</v>
      </c>
      <c r="U17" s="184">
        <f t="shared" si="0"/>
        <v>0</v>
      </c>
      <c r="V17" s="184">
        <f t="shared" si="0"/>
        <v>0</v>
      </c>
      <c r="W17" s="184">
        <f t="shared" si="0"/>
        <v>0</v>
      </c>
      <c r="X17" s="184">
        <f t="shared" si="0"/>
        <v>0</v>
      </c>
      <c r="Y17" s="184">
        <f t="shared" si="0"/>
        <v>0</v>
      </c>
      <c r="Z17" s="184">
        <f t="shared" si="0"/>
        <v>8.1018356066666684</v>
      </c>
      <c r="AA17" s="184">
        <f t="shared" si="0"/>
        <v>0</v>
      </c>
      <c r="AB17" s="184">
        <f t="shared" si="0"/>
        <v>0</v>
      </c>
      <c r="AC17" s="184">
        <f t="shared" si="0"/>
        <v>0</v>
      </c>
      <c r="AD17" s="184">
        <f t="shared" si="0"/>
        <v>6.4</v>
      </c>
      <c r="AE17" s="320">
        <f t="shared" si="0"/>
        <v>347</v>
      </c>
      <c r="AF17" s="184">
        <f t="shared" si="0"/>
        <v>0</v>
      </c>
      <c r="AG17" s="184">
        <f t="shared" si="0"/>
        <v>0</v>
      </c>
      <c r="AH17" s="184">
        <f t="shared" si="0"/>
        <v>8.1018356066666684</v>
      </c>
      <c r="AI17" s="184">
        <f t="shared" si="0"/>
        <v>0</v>
      </c>
      <c r="AJ17" s="184">
        <f t="shared" si="0"/>
        <v>0</v>
      </c>
      <c r="AK17" s="184">
        <f t="shared" si="0"/>
        <v>0</v>
      </c>
      <c r="AL17" s="184">
        <f t="shared" si="0"/>
        <v>6.4</v>
      </c>
      <c r="AM17" s="320">
        <f t="shared" ref="AM17" si="1">AM18</f>
        <v>347</v>
      </c>
      <c r="AN17" s="184">
        <f t="shared" ref="AN17" si="2">AN18</f>
        <v>0</v>
      </c>
    </row>
    <row r="18" spans="1:40" s="189" customFormat="1" x14ac:dyDescent="0.25">
      <c r="A18" s="186" t="s">
        <v>81</v>
      </c>
      <c r="B18" s="9" t="s">
        <v>36</v>
      </c>
      <c r="C18" s="187">
        <v>0</v>
      </c>
      <c r="D18" s="187">
        <f>D38+D73</f>
        <v>0</v>
      </c>
      <c r="E18" s="187">
        <f t="shared" ref="E18:AL18" si="3">E38+E73</f>
        <v>0</v>
      </c>
      <c r="F18" s="187">
        <f t="shared" si="3"/>
        <v>0</v>
      </c>
      <c r="G18" s="187">
        <f t="shared" si="3"/>
        <v>0</v>
      </c>
      <c r="H18" s="187">
        <f t="shared" si="3"/>
        <v>0</v>
      </c>
      <c r="I18" s="187">
        <f t="shared" si="3"/>
        <v>0</v>
      </c>
      <c r="J18" s="187">
        <f t="shared" si="3"/>
        <v>0</v>
      </c>
      <c r="K18" s="187">
        <f t="shared" si="3"/>
        <v>0</v>
      </c>
      <c r="L18" s="187">
        <f t="shared" si="3"/>
        <v>0</v>
      </c>
      <c r="M18" s="187">
        <f t="shared" si="3"/>
        <v>0</v>
      </c>
      <c r="N18" s="187">
        <f t="shared" si="3"/>
        <v>0</v>
      </c>
      <c r="O18" s="187">
        <f t="shared" si="3"/>
        <v>0</v>
      </c>
      <c r="P18" s="187">
        <f t="shared" si="3"/>
        <v>0</v>
      </c>
      <c r="Q18" s="187">
        <f t="shared" si="3"/>
        <v>0</v>
      </c>
      <c r="R18" s="187">
        <f t="shared" si="3"/>
        <v>0</v>
      </c>
      <c r="S18" s="187">
        <f t="shared" si="3"/>
        <v>0</v>
      </c>
      <c r="T18" s="187">
        <f t="shared" si="3"/>
        <v>0</v>
      </c>
      <c r="U18" s="187">
        <f t="shared" si="3"/>
        <v>0</v>
      </c>
      <c r="V18" s="187">
        <f t="shared" si="3"/>
        <v>0</v>
      </c>
      <c r="W18" s="187">
        <f t="shared" si="3"/>
        <v>0</v>
      </c>
      <c r="X18" s="187">
        <f t="shared" si="3"/>
        <v>0</v>
      </c>
      <c r="Y18" s="187">
        <f t="shared" si="3"/>
        <v>0</v>
      </c>
      <c r="Z18" s="187">
        <f t="shared" si="3"/>
        <v>8.1018356066666684</v>
      </c>
      <c r="AA18" s="187">
        <f t="shared" si="3"/>
        <v>0</v>
      </c>
      <c r="AB18" s="187">
        <f t="shared" si="3"/>
        <v>0</v>
      </c>
      <c r="AC18" s="187">
        <f t="shared" si="3"/>
        <v>0</v>
      </c>
      <c r="AD18" s="187">
        <f t="shared" si="3"/>
        <v>6.4</v>
      </c>
      <c r="AE18" s="321">
        <f t="shared" ref="AE18" si="4">AE38+AE73</f>
        <v>347</v>
      </c>
      <c r="AF18" s="187">
        <f t="shared" si="3"/>
        <v>0</v>
      </c>
      <c r="AG18" s="187">
        <f t="shared" si="3"/>
        <v>0</v>
      </c>
      <c r="AH18" s="187">
        <f t="shared" si="3"/>
        <v>8.1018356066666684</v>
      </c>
      <c r="AI18" s="187">
        <f t="shared" si="3"/>
        <v>0</v>
      </c>
      <c r="AJ18" s="187">
        <f t="shared" si="3"/>
        <v>0</v>
      </c>
      <c r="AK18" s="187">
        <f t="shared" si="3"/>
        <v>0</v>
      </c>
      <c r="AL18" s="187">
        <f t="shared" si="3"/>
        <v>6.4</v>
      </c>
      <c r="AM18" s="321">
        <f t="shared" ref="AM18:AN18" si="5">AM38+AM73</f>
        <v>347</v>
      </c>
      <c r="AN18" s="187">
        <f t="shared" si="5"/>
        <v>0</v>
      </c>
    </row>
    <row r="19" spans="1:40" s="185" customFormat="1" x14ac:dyDescent="0.25">
      <c r="A19" s="183" t="s">
        <v>37</v>
      </c>
      <c r="B19" s="64" t="s">
        <v>38</v>
      </c>
      <c r="C19" s="184">
        <v>0</v>
      </c>
      <c r="D19" s="184">
        <f>D36</f>
        <v>0</v>
      </c>
      <c r="E19" s="184">
        <f t="shared" ref="E19:AL19" si="6">E36</f>
        <v>0</v>
      </c>
      <c r="F19" s="184">
        <f t="shared" si="6"/>
        <v>0</v>
      </c>
      <c r="G19" s="184">
        <f t="shared" si="6"/>
        <v>0</v>
      </c>
      <c r="H19" s="184">
        <f t="shared" si="6"/>
        <v>0</v>
      </c>
      <c r="I19" s="184">
        <f t="shared" si="6"/>
        <v>0</v>
      </c>
      <c r="J19" s="184">
        <f t="shared" si="6"/>
        <v>0</v>
      </c>
      <c r="K19" s="184">
        <f t="shared" si="6"/>
        <v>0</v>
      </c>
      <c r="L19" s="184">
        <f t="shared" si="6"/>
        <v>0</v>
      </c>
      <c r="M19" s="184">
        <f t="shared" si="6"/>
        <v>0</v>
      </c>
      <c r="N19" s="184">
        <f t="shared" si="6"/>
        <v>0</v>
      </c>
      <c r="O19" s="184">
        <f t="shared" si="6"/>
        <v>0</v>
      </c>
      <c r="P19" s="184">
        <f t="shared" si="6"/>
        <v>0</v>
      </c>
      <c r="Q19" s="184">
        <f t="shared" si="6"/>
        <v>0</v>
      </c>
      <c r="R19" s="184">
        <f t="shared" si="6"/>
        <v>0</v>
      </c>
      <c r="S19" s="184">
        <f t="shared" si="6"/>
        <v>0</v>
      </c>
      <c r="T19" s="184">
        <f t="shared" si="6"/>
        <v>0</v>
      </c>
      <c r="U19" s="184">
        <f t="shared" si="6"/>
        <v>0</v>
      </c>
      <c r="V19" s="184">
        <f t="shared" si="6"/>
        <v>0</v>
      </c>
      <c r="W19" s="184">
        <f t="shared" si="6"/>
        <v>0</v>
      </c>
      <c r="X19" s="184">
        <f t="shared" si="6"/>
        <v>0</v>
      </c>
      <c r="Y19" s="184">
        <f t="shared" si="6"/>
        <v>0</v>
      </c>
      <c r="Z19" s="184">
        <f t="shared" si="6"/>
        <v>0</v>
      </c>
      <c r="AA19" s="184">
        <f t="shared" si="6"/>
        <v>0</v>
      </c>
      <c r="AB19" s="184">
        <f t="shared" si="6"/>
        <v>0</v>
      </c>
      <c r="AC19" s="184">
        <f t="shared" si="6"/>
        <v>0</v>
      </c>
      <c r="AD19" s="184">
        <f t="shared" si="6"/>
        <v>0</v>
      </c>
      <c r="AE19" s="184"/>
      <c r="AF19" s="184">
        <f t="shared" si="6"/>
        <v>0</v>
      </c>
      <c r="AG19" s="184">
        <f t="shared" si="6"/>
        <v>0</v>
      </c>
      <c r="AH19" s="184">
        <f t="shared" si="6"/>
        <v>0</v>
      </c>
      <c r="AI19" s="184">
        <f t="shared" si="6"/>
        <v>0</v>
      </c>
      <c r="AJ19" s="184">
        <f t="shared" si="6"/>
        <v>0</v>
      </c>
      <c r="AK19" s="184">
        <f t="shared" si="6"/>
        <v>0</v>
      </c>
      <c r="AL19" s="184">
        <f t="shared" si="6"/>
        <v>0</v>
      </c>
      <c r="AM19" s="184">
        <f t="shared" ref="AM19:AN19" si="7">AM36</f>
        <v>0</v>
      </c>
      <c r="AN19" s="184">
        <f t="shared" si="7"/>
        <v>0</v>
      </c>
    </row>
    <row r="20" spans="1:40" s="193" customFormat="1" ht="31.5" hidden="1" outlineLevel="1" x14ac:dyDescent="0.25">
      <c r="A20" s="190" t="s">
        <v>82</v>
      </c>
      <c r="B20" s="10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</row>
    <row r="21" spans="1:40" s="189" customFormat="1" ht="47.25" hidden="1" outlineLevel="1" x14ac:dyDescent="0.25">
      <c r="A21" s="186" t="s">
        <v>84</v>
      </c>
      <c r="B21" s="9" t="s">
        <v>85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s="189" customFormat="1" ht="47.25" hidden="1" outlineLevel="1" x14ac:dyDescent="0.25">
      <c r="A22" s="186" t="s">
        <v>86</v>
      </c>
      <c r="B22" s="9" t="s">
        <v>87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</row>
    <row r="23" spans="1:40" s="189" customFormat="1" ht="31.5" hidden="1" outlineLevel="1" x14ac:dyDescent="0.25">
      <c r="A23" s="186" t="s">
        <v>88</v>
      </c>
      <c r="B23" s="9" t="s">
        <v>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40" s="193" customFormat="1" ht="31.5" hidden="1" outlineLevel="1" x14ac:dyDescent="0.25">
      <c r="A24" s="190" t="s">
        <v>90</v>
      </c>
      <c r="B24" s="10" t="s">
        <v>91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</row>
    <row r="25" spans="1:40" s="189" customFormat="1" ht="47.25" hidden="1" outlineLevel="1" x14ac:dyDescent="0.25">
      <c r="A25" s="186" t="s">
        <v>92</v>
      </c>
      <c r="B25" s="9" t="s">
        <v>93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40" s="189" customFormat="1" ht="31.5" hidden="1" outlineLevel="1" x14ac:dyDescent="0.25">
      <c r="A26" s="186" t="s">
        <v>94</v>
      </c>
      <c r="B26" s="9" t="s">
        <v>95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</row>
    <row r="27" spans="1:40" s="193" customFormat="1" ht="31.5" hidden="1" outlineLevel="1" x14ac:dyDescent="0.25">
      <c r="A27" s="190" t="s">
        <v>96</v>
      </c>
      <c r="B27" s="10" t="s">
        <v>97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</row>
    <row r="28" spans="1:40" s="189" customFormat="1" ht="31.5" hidden="1" outlineLevel="1" x14ac:dyDescent="0.25">
      <c r="A28" s="186" t="s">
        <v>98</v>
      </c>
      <c r="B28" s="9" t="s">
        <v>99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</row>
    <row r="29" spans="1:40" s="189" customFormat="1" ht="63" hidden="1" outlineLevel="1" x14ac:dyDescent="0.25">
      <c r="A29" s="186" t="s">
        <v>103</v>
      </c>
      <c r="B29" s="9" t="s">
        <v>100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</row>
    <row r="30" spans="1:40" s="189" customFormat="1" ht="63" hidden="1" outlineLevel="1" x14ac:dyDescent="0.25">
      <c r="A30" s="186" t="s">
        <v>105</v>
      </c>
      <c r="B30" s="9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40" s="189" customFormat="1" ht="63" hidden="1" outlineLevel="1" x14ac:dyDescent="0.25">
      <c r="A31" s="186" t="s">
        <v>106</v>
      </c>
      <c r="B31" s="9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s="189" customFormat="1" ht="31.5" hidden="1" outlineLevel="1" x14ac:dyDescent="0.25">
      <c r="A32" s="186" t="s">
        <v>107</v>
      </c>
      <c r="B32" s="9" t="s">
        <v>99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</row>
    <row r="33" spans="1:40" s="189" customFormat="1" ht="63" hidden="1" outlineLevel="1" x14ac:dyDescent="0.25">
      <c r="A33" s="186" t="s">
        <v>108</v>
      </c>
      <c r="B33" s="9" t="s">
        <v>100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</row>
    <row r="34" spans="1:40" s="189" customFormat="1" ht="63" hidden="1" outlineLevel="1" x14ac:dyDescent="0.25">
      <c r="A34" s="186" t="s">
        <v>109</v>
      </c>
      <c r="B34" s="9" t="s">
        <v>101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s="189" customFormat="1" ht="63" hidden="1" outlineLevel="1" x14ac:dyDescent="0.25">
      <c r="A35" s="186" t="s">
        <v>110</v>
      </c>
      <c r="B35" s="9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</row>
    <row r="36" spans="1:40" s="196" customFormat="1" ht="63" collapsed="1" x14ac:dyDescent="0.25">
      <c r="A36" s="194" t="s">
        <v>39</v>
      </c>
      <c r="B36" s="65" t="s">
        <v>40</v>
      </c>
      <c r="C36" s="195">
        <v>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</row>
    <row r="37" spans="1:40" s="193" customFormat="1" ht="47.25" x14ac:dyDescent="0.25">
      <c r="A37" s="190" t="s">
        <v>111</v>
      </c>
      <c r="B37" s="10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</row>
    <row r="38" spans="1:40" s="185" customFormat="1" ht="31.5" x14ac:dyDescent="0.25">
      <c r="A38" s="183" t="s">
        <v>42</v>
      </c>
      <c r="B38" s="64" t="s">
        <v>43</v>
      </c>
      <c r="C38" s="184">
        <v>0</v>
      </c>
      <c r="D38" s="184">
        <f>D39+D45+D52</f>
        <v>0</v>
      </c>
      <c r="E38" s="184">
        <f t="shared" ref="E38:AN38" si="8">E39+E45+E52</f>
        <v>0</v>
      </c>
      <c r="F38" s="184">
        <f t="shared" si="8"/>
        <v>0</v>
      </c>
      <c r="G38" s="184">
        <f t="shared" si="8"/>
        <v>0</v>
      </c>
      <c r="H38" s="184">
        <f t="shared" si="8"/>
        <v>0</v>
      </c>
      <c r="I38" s="184">
        <f t="shared" si="8"/>
        <v>0</v>
      </c>
      <c r="J38" s="184">
        <f t="shared" si="8"/>
        <v>0</v>
      </c>
      <c r="K38" s="184">
        <f t="shared" si="8"/>
        <v>0</v>
      </c>
      <c r="L38" s="184">
        <f t="shared" si="8"/>
        <v>0</v>
      </c>
      <c r="M38" s="184">
        <f t="shared" si="8"/>
        <v>0</v>
      </c>
      <c r="N38" s="184">
        <f t="shared" si="8"/>
        <v>0</v>
      </c>
      <c r="O38" s="184">
        <f t="shared" si="8"/>
        <v>0</v>
      </c>
      <c r="P38" s="184">
        <f t="shared" si="8"/>
        <v>0</v>
      </c>
      <c r="Q38" s="184">
        <f t="shared" si="8"/>
        <v>0</v>
      </c>
      <c r="R38" s="184">
        <f t="shared" si="8"/>
        <v>0</v>
      </c>
      <c r="S38" s="184">
        <f t="shared" si="8"/>
        <v>0</v>
      </c>
      <c r="T38" s="184">
        <f t="shared" si="8"/>
        <v>0</v>
      </c>
      <c r="U38" s="184">
        <f t="shared" si="8"/>
        <v>0</v>
      </c>
      <c r="V38" s="184">
        <f t="shared" si="8"/>
        <v>0</v>
      </c>
      <c r="W38" s="184">
        <f t="shared" si="8"/>
        <v>0</v>
      </c>
      <c r="X38" s="184">
        <f t="shared" si="8"/>
        <v>0</v>
      </c>
      <c r="Y38" s="184">
        <f t="shared" si="8"/>
        <v>0</v>
      </c>
      <c r="Z38" s="184">
        <f t="shared" si="8"/>
        <v>8.1018356066666684</v>
      </c>
      <c r="AA38" s="184">
        <f t="shared" ref="AA38" si="9">AA39+AA45+AA52</f>
        <v>0</v>
      </c>
      <c r="AB38" s="184">
        <f t="shared" ref="AB38" si="10">AB39+AB45+AB52</f>
        <v>0</v>
      </c>
      <c r="AC38" s="184">
        <f t="shared" ref="AC38" si="11">AC39+AC45+AC52</f>
        <v>0</v>
      </c>
      <c r="AD38" s="184">
        <f t="shared" ref="AD38" si="12">AD39+AD45+AD52</f>
        <v>6.4</v>
      </c>
      <c r="AE38" s="320">
        <f t="shared" ref="AE38" si="13">AE39+AE45+AE52</f>
        <v>347</v>
      </c>
      <c r="AF38" s="184">
        <f t="shared" ref="AF38" si="14">AF39+AF45+AF52</f>
        <v>0</v>
      </c>
      <c r="AG38" s="184">
        <f t="shared" si="8"/>
        <v>0</v>
      </c>
      <c r="AH38" s="184">
        <f t="shared" si="8"/>
        <v>8.1018356066666684</v>
      </c>
      <c r="AI38" s="184">
        <f t="shared" si="8"/>
        <v>0</v>
      </c>
      <c r="AJ38" s="184">
        <f t="shared" si="8"/>
        <v>0</v>
      </c>
      <c r="AK38" s="184">
        <f t="shared" si="8"/>
        <v>0</v>
      </c>
      <c r="AL38" s="184">
        <f t="shared" si="8"/>
        <v>6.4</v>
      </c>
      <c r="AM38" s="320">
        <f t="shared" si="8"/>
        <v>347</v>
      </c>
      <c r="AN38" s="184">
        <f t="shared" si="8"/>
        <v>0</v>
      </c>
    </row>
    <row r="39" spans="1:40" s="196" customFormat="1" ht="47.25" x14ac:dyDescent="0.25">
      <c r="A39" s="194" t="s">
        <v>79</v>
      </c>
      <c r="B39" s="65" t="s">
        <v>80</v>
      </c>
      <c r="C39" s="195">
        <v>0</v>
      </c>
      <c r="D39" s="195">
        <f>D40</f>
        <v>0</v>
      </c>
      <c r="E39" s="195">
        <f t="shared" ref="E39:T39" si="15">E40</f>
        <v>0</v>
      </c>
      <c r="F39" s="195">
        <f t="shared" si="15"/>
        <v>0</v>
      </c>
      <c r="G39" s="195">
        <f t="shared" si="15"/>
        <v>0</v>
      </c>
      <c r="H39" s="195">
        <f t="shared" si="15"/>
        <v>0</v>
      </c>
      <c r="I39" s="195">
        <f t="shared" si="15"/>
        <v>0</v>
      </c>
      <c r="J39" s="195">
        <f t="shared" si="15"/>
        <v>0</v>
      </c>
      <c r="K39" s="195">
        <f t="shared" si="15"/>
        <v>0</v>
      </c>
      <c r="L39" s="195">
        <f t="shared" si="15"/>
        <v>0</v>
      </c>
      <c r="M39" s="195">
        <f t="shared" si="15"/>
        <v>0</v>
      </c>
      <c r="N39" s="195">
        <f t="shared" si="15"/>
        <v>0</v>
      </c>
      <c r="O39" s="195">
        <f t="shared" si="15"/>
        <v>0</v>
      </c>
      <c r="P39" s="195">
        <f t="shared" si="15"/>
        <v>0</v>
      </c>
      <c r="Q39" s="195">
        <f t="shared" si="15"/>
        <v>0</v>
      </c>
      <c r="R39" s="195">
        <f t="shared" si="15"/>
        <v>0</v>
      </c>
      <c r="S39" s="195">
        <f t="shared" si="15"/>
        <v>0</v>
      </c>
      <c r="T39" s="195">
        <f t="shared" si="15"/>
        <v>0</v>
      </c>
      <c r="U39" s="195">
        <f t="shared" ref="U39:AK39" si="16">U40</f>
        <v>0</v>
      </c>
      <c r="V39" s="195">
        <f t="shared" si="16"/>
        <v>0</v>
      </c>
      <c r="W39" s="195">
        <f t="shared" si="16"/>
        <v>0</v>
      </c>
      <c r="X39" s="195">
        <f t="shared" si="16"/>
        <v>0</v>
      </c>
      <c r="Y39" s="195">
        <f t="shared" si="16"/>
        <v>0</v>
      </c>
      <c r="Z39" s="195">
        <f t="shared" si="16"/>
        <v>0</v>
      </c>
      <c r="AA39" s="195">
        <f t="shared" si="16"/>
        <v>0</v>
      </c>
      <c r="AB39" s="195">
        <f t="shared" si="16"/>
        <v>0</v>
      </c>
      <c r="AC39" s="195">
        <f t="shared" si="16"/>
        <v>0</v>
      </c>
      <c r="AD39" s="195">
        <f t="shared" si="16"/>
        <v>6.4</v>
      </c>
      <c r="AE39" s="195"/>
      <c r="AF39" s="195">
        <f t="shared" si="16"/>
        <v>0</v>
      </c>
      <c r="AG39" s="195">
        <f t="shared" si="16"/>
        <v>0</v>
      </c>
      <c r="AH39" s="195">
        <f t="shared" si="16"/>
        <v>0</v>
      </c>
      <c r="AI39" s="195">
        <f t="shared" si="16"/>
        <v>0</v>
      </c>
      <c r="AJ39" s="195">
        <f t="shared" si="16"/>
        <v>0</v>
      </c>
      <c r="AK39" s="195">
        <f t="shared" si="16"/>
        <v>0</v>
      </c>
      <c r="AL39" s="195">
        <f t="shared" ref="AL39:AN39" si="17">AL40</f>
        <v>6.4</v>
      </c>
      <c r="AM39" s="318">
        <f t="shared" si="17"/>
        <v>0</v>
      </c>
      <c r="AN39" s="195">
        <f t="shared" si="17"/>
        <v>0</v>
      </c>
    </row>
    <row r="40" spans="1:40" s="200" customFormat="1" ht="31.5" x14ac:dyDescent="0.25">
      <c r="A40" s="197" t="s">
        <v>44</v>
      </c>
      <c r="B40" s="11" t="s">
        <v>45</v>
      </c>
      <c r="C40" s="198">
        <v>0</v>
      </c>
      <c r="D40" s="198">
        <f>SUM(D41:D43)</f>
        <v>0</v>
      </c>
      <c r="E40" s="198">
        <f t="shared" ref="E40:AI40" si="18">SUM(E41:E43)</f>
        <v>0</v>
      </c>
      <c r="F40" s="198">
        <f t="shared" si="18"/>
        <v>0</v>
      </c>
      <c r="G40" s="198">
        <f t="shared" si="18"/>
        <v>0</v>
      </c>
      <c r="H40" s="198">
        <f t="shared" si="18"/>
        <v>0</v>
      </c>
      <c r="I40" s="198">
        <f t="shared" si="18"/>
        <v>0</v>
      </c>
      <c r="J40" s="198">
        <f t="shared" si="18"/>
        <v>0</v>
      </c>
      <c r="K40" s="198">
        <f t="shared" si="18"/>
        <v>0</v>
      </c>
      <c r="L40" s="198">
        <f t="shared" si="18"/>
        <v>0</v>
      </c>
      <c r="M40" s="198">
        <f t="shared" si="18"/>
        <v>0</v>
      </c>
      <c r="N40" s="198">
        <f t="shared" si="18"/>
        <v>0</v>
      </c>
      <c r="O40" s="198">
        <f t="shared" si="18"/>
        <v>0</v>
      </c>
      <c r="P40" s="198">
        <f t="shared" si="18"/>
        <v>0</v>
      </c>
      <c r="Q40" s="198">
        <f t="shared" si="18"/>
        <v>0</v>
      </c>
      <c r="R40" s="198">
        <f t="shared" si="18"/>
        <v>0</v>
      </c>
      <c r="S40" s="198">
        <f t="shared" si="18"/>
        <v>0</v>
      </c>
      <c r="T40" s="198">
        <f t="shared" si="18"/>
        <v>0</v>
      </c>
      <c r="U40" s="198">
        <f t="shared" si="18"/>
        <v>0</v>
      </c>
      <c r="V40" s="198">
        <f t="shared" si="18"/>
        <v>0</v>
      </c>
      <c r="W40" s="198">
        <f t="shared" si="18"/>
        <v>0</v>
      </c>
      <c r="X40" s="198">
        <f t="shared" si="18"/>
        <v>0</v>
      </c>
      <c r="Y40" s="198">
        <f t="shared" si="18"/>
        <v>0</v>
      </c>
      <c r="Z40" s="198">
        <f t="shared" si="18"/>
        <v>0</v>
      </c>
      <c r="AA40" s="198">
        <f t="shared" si="18"/>
        <v>0</v>
      </c>
      <c r="AB40" s="198">
        <f t="shared" si="18"/>
        <v>0</v>
      </c>
      <c r="AC40" s="198">
        <f t="shared" si="18"/>
        <v>0</v>
      </c>
      <c r="AD40" s="198">
        <f t="shared" si="18"/>
        <v>6.4</v>
      </c>
      <c r="AE40" s="198">
        <f t="shared" ref="AE40" si="19">SUM(AE41:AE43)</f>
        <v>0</v>
      </c>
      <c r="AF40" s="198">
        <f t="shared" ref="AF40" si="20">SUM(AF41:AF43)</f>
        <v>0</v>
      </c>
      <c r="AG40" s="198">
        <f t="shared" si="18"/>
        <v>0</v>
      </c>
      <c r="AH40" s="198">
        <f t="shared" si="18"/>
        <v>0</v>
      </c>
      <c r="AI40" s="198">
        <f t="shared" si="18"/>
        <v>0</v>
      </c>
      <c r="AJ40" s="198">
        <f t="shared" ref="AJ40" si="21">SUM(AJ41:AJ43)</f>
        <v>0</v>
      </c>
      <c r="AK40" s="198">
        <f t="shared" ref="AK40" si="22">SUM(AK41:AK43)</f>
        <v>0</v>
      </c>
      <c r="AL40" s="198">
        <f t="shared" ref="AL40" si="23">SUM(AL41:AL43)</f>
        <v>6.4</v>
      </c>
      <c r="AM40" s="319">
        <f t="shared" ref="AM40" si="24">SUM(AM41:AM43)</f>
        <v>0</v>
      </c>
      <c r="AN40" s="198">
        <f t="shared" ref="AN40" si="25">SUM(AN41:AN43)</f>
        <v>0</v>
      </c>
    </row>
    <row r="41" spans="1:40" s="362" customFormat="1" x14ac:dyDescent="0.25">
      <c r="A41" s="14" t="s">
        <v>46</v>
      </c>
      <c r="B41" s="417" t="s">
        <v>735</v>
      </c>
      <c r="C41" s="390" t="s">
        <v>721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351">
        <v>0</v>
      </c>
      <c r="U41" s="351">
        <v>0</v>
      </c>
      <c r="V41" s="351">
        <v>0</v>
      </c>
      <c r="W41" s="351">
        <v>0</v>
      </c>
      <c r="X41" s="351">
        <v>0</v>
      </c>
      <c r="Y41" s="393">
        <v>0</v>
      </c>
      <c r="Z41" s="393">
        <f>Ф4!U41</f>
        <v>0</v>
      </c>
      <c r="AA41" s="393">
        <f>Ф4!V41</f>
        <v>0</v>
      </c>
      <c r="AB41" s="393">
        <f>Ф4!W41</f>
        <v>0</v>
      </c>
      <c r="AC41" s="393">
        <f>Ф4!X41</f>
        <v>0</v>
      </c>
      <c r="AD41" s="393">
        <f>Ф4!Y41</f>
        <v>6.4</v>
      </c>
      <c r="AE41" s="393"/>
      <c r="AF41" s="393">
        <f>Ф4!Z41</f>
        <v>0</v>
      </c>
      <c r="AG41" s="351">
        <f>D41+K41+R41+Y41</f>
        <v>0</v>
      </c>
      <c r="AH41" s="351">
        <f>E41+L41+S41+Z41</f>
        <v>0</v>
      </c>
      <c r="AI41" s="351">
        <f>F41+M41+T41+AA41</f>
        <v>0</v>
      </c>
      <c r="AJ41" s="351">
        <f t="shared" ref="AJ41:AN41" si="26">G41+N41+U41+AB41</f>
        <v>0</v>
      </c>
      <c r="AK41" s="351">
        <f t="shared" si="26"/>
        <v>0</v>
      </c>
      <c r="AL41" s="351">
        <f t="shared" si="26"/>
        <v>6.4</v>
      </c>
      <c r="AM41" s="351">
        <f t="shared" si="26"/>
        <v>0</v>
      </c>
      <c r="AN41" s="351">
        <f t="shared" si="26"/>
        <v>0</v>
      </c>
    </row>
    <row r="42" spans="1:40" s="362" customFormat="1" x14ac:dyDescent="0.25">
      <c r="A42" s="14" t="s">
        <v>527</v>
      </c>
      <c r="B42" s="419" t="s">
        <v>736</v>
      </c>
      <c r="C42" s="390" t="s">
        <v>722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>
        <f t="shared" ref="AH42:AH43" si="27">E42+L42+S42+Z42</f>
        <v>0</v>
      </c>
      <c r="AI42" s="351">
        <f t="shared" ref="AI42:AI43" si="28">F42+M42+T42+AA42</f>
        <v>0</v>
      </c>
      <c r="AJ42" s="351">
        <f t="shared" ref="AJ42:AJ43" si="29">G42+N42+U42+AB42</f>
        <v>0</v>
      </c>
      <c r="AK42" s="351">
        <f t="shared" ref="AK42:AK43" si="30">H42+O42+V42+AC42</f>
        <v>0</v>
      </c>
      <c r="AL42" s="351">
        <f t="shared" ref="AL42:AL43" si="31">I42+P42+W42+AD42</f>
        <v>0</v>
      </c>
      <c r="AM42" s="351"/>
      <c r="AN42" s="351">
        <f t="shared" ref="AN42:AN43" si="32">J42+Q42+X42+AF42</f>
        <v>0</v>
      </c>
    </row>
    <row r="43" spans="1:40" s="362" customFormat="1" x14ac:dyDescent="0.25">
      <c r="A43" s="14" t="s">
        <v>700</v>
      </c>
      <c r="B43" s="419" t="s">
        <v>737</v>
      </c>
      <c r="C43" s="390" t="s">
        <v>723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>
        <f t="shared" si="27"/>
        <v>0</v>
      </c>
      <c r="AI43" s="351">
        <f t="shared" si="28"/>
        <v>0</v>
      </c>
      <c r="AJ43" s="351">
        <f t="shared" si="29"/>
        <v>0</v>
      </c>
      <c r="AK43" s="351">
        <f t="shared" si="30"/>
        <v>0</v>
      </c>
      <c r="AL43" s="351">
        <f t="shared" si="31"/>
        <v>0</v>
      </c>
      <c r="AM43" s="351"/>
      <c r="AN43" s="351">
        <f t="shared" si="32"/>
        <v>0</v>
      </c>
    </row>
    <row r="44" spans="1:40" s="200" customFormat="1" ht="31.5" x14ac:dyDescent="0.25">
      <c r="A44" s="197" t="s">
        <v>112</v>
      </c>
      <c r="B44" s="11" t="s">
        <v>113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</row>
    <row r="45" spans="1:40" s="196" customFormat="1" ht="31.5" x14ac:dyDescent="0.25">
      <c r="A45" s="194" t="s">
        <v>47</v>
      </c>
      <c r="B45" s="65" t="s">
        <v>48</v>
      </c>
      <c r="C45" s="195">
        <v>0</v>
      </c>
      <c r="D45" s="195">
        <f>D46</f>
        <v>0</v>
      </c>
      <c r="E45" s="195">
        <f t="shared" ref="E45:AN45" si="33">E46</f>
        <v>0</v>
      </c>
      <c r="F45" s="195">
        <f t="shared" si="33"/>
        <v>0</v>
      </c>
      <c r="G45" s="195">
        <f t="shared" si="33"/>
        <v>0</v>
      </c>
      <c r="H45" s="195">
        <f t="shared" si="33"/>
        <v>0</v>
      </c>
      <c r="I45" s="195">
        <f t="shared" si="33"/>
        <v>0</v>
      </c>
      <c r="J45" s="195">
        <f t="shared" si="33"/>
        <v>0</v>
      </c>
      <c r="K45" s="195">
        <f t="shared" si="33"/>
        <v>0</v>
      </c>
      <c r="L45" s="195">
        <f t="shared" si="33"/>
        <v>0</v>
      </c>
      <c r="M45" s="195">
        <f t="shared" si="33"/>
        <v>0</v>
      </c>
      <c r="N45" s="195">
        <f t="shared" si="33"/>
        <v>0</v>
      </c>
      <c r="O45" s="195">
        <f t="shared" si="33"/>
        <v>0</v>
      </c>
      <c r="P45" s="195">
        <f t="shared" si="33"/>
        <v>0</v>
      </c>
      <c r="Q45" s="195">
        <f t="shared" si="33"/>
        <v>0</v>
      </c>
      <c r="R45" s="195">
        <f t="shared" si="33"/>
        <v>0</v>
      </c>
      <c r="S45" s="195">
        <f t="shared" si="33"/>
        <v>0</v>
      </c>
      <c r="T45" s="195">
        <f t="shared" si="33"/>
        <v>0</v>
      </c>
      <c r="U45" s="195">
        <f t="shared" si="33"/>
        <v>0</v>
      </c>
      <c r="V45" s="195">
        <f t="shared" si="33"/>
        <v>0</v>
      </c>
      <c r="W45" s="195">
        <f t="shared" si="33"/>
        <v>0</v>
      </c>
      <c r="X45" s="195">
        <f t="shared" si="33"/>
        <v>0</v>
      </c>
      <c r="Y45" s="195">
        <f t="shared" si="33"/>
        <v>0</v>
      </c>
      <c r="Z45" s="195">
        <f t="shared" si="33"/>
        <v>0</v>
      </c>
      <c r="AA45" s="195">
        <f t="shared" ref="AA45" si="34">AA46</f>
        <v>0</v>
      </c>
      <c r="AB45" s="195">
        <f t="shared" ref="AB45" si="35">AB46</f>
        <v>0</v>
      </c>
      <c r="AC45" s="195">
        <f t="shared" ref="AC45" si="36">AC46</f>
        <v>0</v>
      </c>
      <c r="AD45" s="195">
        <f t="shared" ref="AD45" si="37">AD46</f>
        <v>0</v>
      </c>
      <c r="AE45" s="195">
        <f t="shared" ref="AE45" si="38">AE46</f>
        <v>0</v>
      </c>
      <c r="AF45" s="195">
        <f t="shared" si="33"/>
        <v>0</v>
      </c>
      <c r="AG45" s="195">
        <f t="shared" si="33"/>
        <v>0</v>
      </c>
      <c r="AH45" s="195">
        <f t="shared" si="33"/>
        <v>0</v>
      </c>
      <c r="AI45" s="195">
        <f t="shared" si="33"/>
        <v>0</v>
      </c>
      <c r="AJ45" s="195">
        <f t="shared" si="33"/>
        <v>0</v>
      </c>
      <c r="AK45" s="195">
        <f t="shared" si="33"/>
        <v>0</v>
      </c>
      <c r="AL45" s="195">
        <f t="shared" si="33"/>
        <v>0</v>
      </c>
      <c r="AM45" s="195">
        <f t="shared" si="33"/>
        <v>0</v>
      </c>
      <c r="AN45" s="195">
        <f t="shared" si="33"/>
        <v>0</v>
      </c>
    </row>
    <row r="46" spans="1:40" s="200" customFormat="1" x14ac:dyDescent="0.25">
      <c r="A46" s="197" t="s">
        <v>74</v>
      </c>
      <c r="B46" s="11" t="s">
        <v>75</v>
      </c>
      <c r="C46" s="198">
        <v>0</v>
      </c>
      <c r="D46" s="198">
        <f>SUM(D47:D50)</f>
        <v>0</v>
      </c>
      <c r="E46" s="198">
        <f t="shared" ref="E46:AN46" si="39">SUM(E47:E50)</f>
        <v>0</v>
      </c>
      <c r="F46" s="198">
        <f t="shared" si="39"/>
        <v>0</v>
      </c>
      <c r="G46" s="198">
        <f t="shared" si="39"/>
        <v>0</v>
      </c>
      <c r="H46" s="198">
        <f t="shared" si="39"/>
        <v>0</v>
      </c>
      <c r="I46" s="198">
        <f t="shared" si="39"/>
        <v>0</v>
      </c>
      <c r="J46" s="198">
        <f t="shared" si="39"/>
        <v>0</v>
      </c>
      <c r="K46" s="198">
        <f t="shared" si="39"/>
        <v>0</v>
      </c>
      <c r="L46" s="198">
        <f t="shared" si="39"/>
        <v>0</v>
      </c>
      <c r="M46" s="198">
        <f t="shared" si="39"/>
        <v>0</v>
      </c>
      <c r="N46" s="198">
        <f t="shared" si="39"/>
        <v>0</v>
      </c>
      <c r="O46" s="198">
        <f t="shared" si="39"/>
        <v>0</v>
      </c>
      <c r="P46" s="198">
        <f t="shared" si="39"/>
        <v>0</v>
      </c>
      <c r="Q46" s="198">
        <f t="shared" si="39"/>
        <v>0</v>
      </c>
      <c r="R46" s="198">
        <f t="shared" si="39"/>
        <v>0</v>
      </c>
      <c r="S46" s="198">
        <f t="shared" si="39"/>
        <v>0</v>
      </c>
      <c r="T46" s="198">
        <f t="shared" si="39"/>
        <v>0</v>
      </c>
      <c r="U46" s="198">
        <f t="shared" si="39"/>
        <v>0</v>
      </c>
      <c r="V46" s="198">
        <f t="shared" si="39"/>
        <v>0</v>
      </c>
      <c r="W46" s="198">
        <f t="shared" si="39"/>
        <v>0</v>
      </c>
      <c r="X46" s="198">
        <f t="shared" si="39"/>
        <v>0</v>
      </c>
      <c r="Y46" s="198">
        <f t="shared" si="39"/>
        <v>0</v>
      </c>
      <c r="Z46" s="198">
        <f t="shared" si="39"/>
        <v>0</v>
      </c>
      <c r="AA46" s="198">
        <f t="shared" si="39"/>
        <v>0</v>
      </c>
      <c r="AB46" s="198">
        <f t="shared" si="39"/>
        <v>0</v>
      </c>
      <c r="AC46" s="198">
        <f t="shared" si="39"/>
        <v>0</v>
      </c>
      <c r="AD46" s="198">
        <f t="shared" si="39"/>
        <v>0</v>
      </c>
      <c r="AE46" s="198"/>
      <c r="AF46" s="198">
        <f t="shared" si="39"/>
        <v>0</v>
      </c>
      <c r="AG46" s="198">
        <f t="shared" si="39"/>
        <v>0</v>
      </c>
      <c r="AH46" s="198">
        <f t="shared" si="39"/>
        <v>0</v>
      </c>
      <c r="AI46" s="198">
        <f t="shared" si="39"/>
        <v>0</v>
      </c>
      <c r="AJ46" s="198">
        <f t="shared" si="39"/>
        <v>0</v>
      </c>
      <c r="AK46" s="198">
        <f t="shared" si="39"/>
        <v>0</v>
      </c>
      <c r="AL46" s="198">
        <f t="shared" si="39"/>
        <v>0</v>
      </c>
      <c r="AM46" s="198">
        <f t="shared" si="39"/>
        <v>0</v>
      </c>
      <c r="AN46" s="198">
        <f t="shared" si="39"/>
        <v>0</v>
      </c>
    </row>
    <row r="47" spans="1:40" s="362" customFormat="1" ht="25.5" x14ac:dyDescent="0.25">
      <c r="A47" s="14" t="s">
        <v>76</v>
      </c>
      <c r="B47" s="417" t="s">
        <v>738</v>
      </c>
      <c r="C47" s="390" t="s">
        <v>724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>
        <f>E47+L47+S47+Z47</f>
        <v>0</v>
      </c>
      <c r="AI47" s="351">
        <f t="shared" ref="AI47" si="40">F47+M47+T47+AA47</f>
        <v>0</v>
      </c>
      <c r="AJ47" s="351">
        <f t="shared" ref="AJ47" si="41">G47+N47+U47+AB47</f>
        <v>0</v>
      </c>
      <c r="AK47" s="351">
        <f t="shared" ref="AK47" si="42">H47+O47+V47+AC47</f>
        <v>0</v>
      </c>
      <c r="AL47" s="351">
        <f t="shared" ref="AL47:AM47" si="43">I47+P47+W47+AD47</f>
        <v>0</v>
      </c>
      <c r="AM47" s="351">
        <f t="shared" si="43"/>
        <v>0</v>
      </c>
      <c r="AN47" s="351">
        <f t="shared" ref="AN47" si="44">J47+Q47+X47+AF47</f>
        <v>0</v>
      </c>
    </row>
    <row r="48" spans="1:40" s="362" customFormat="1" x14ac:dyDescent="0.25">
      <c r="A48" s="14" t="s">
        <v>659</v>
      </c>
      <c r="B48" s="417" t="s">
        <v>739</v>
      </c>
      <c r="C48" s="390" t="s">
        <v>725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0</v>
      </c>
      <c r="N48" s="351">
        <v>0</v>
      </c>
      <c r="O48" s="351">
        <v>0</v>
      </c>
      <c r="P48" s="351">
        <v>0</v>
      </c>
      <c r="Q48" s="351">
        <v>0</v>
      </c>
      <c r="R48" s="351">
        <v>0</v>
      </c>
      <c r="S48" s="351">
        <v>0</v>
      </c>
      <c r="T48" s="351">
        <v>0</v>
      </c>
      <c r="U48" s="351">
        <v>0</v>
      </c>
      <c r="V48" s="351">
        <v>0</v>
      </c>
      <c r="W48" s="351">
        <v>0</v>
      </c>
      <c r="X48" s="351">
        <v>0</v>
      </c>
      <c r="Y48" s="351">
        <v>0</v>
      </c>
      <c r="Z48" s="351">
        <v>0</v>
      </c>
      <c r="AA48" s="351">
        <v>0</v>
      </c>
      <c r="AB48" s="351">
        <v>0</v>
      </c>
      <c r="AC48" s="351">
        <v>0</v>
      </c>
      <c r="AD48" s="351">
        <v>0</v>
      </c>
      <c r="AE48" s="351"/>
      <c r="AF48" s="351">
        <v>0</v>
      </c>
      <c r="AG48" s="351">
        <f>D48+K48+R48+Y48</f>
        <v>0</v>
      </c>
      <c r="AH48" s="351">
        <f t="shared" ref="AH48:AH50" si="45">E48+L48+S48+Z48</f>
        <v>0</v>
      </c>
      <c r="AI48" s="351">
        <f t="shared" ref="AI48:AI50" si="46">F48+M48+T48+AA48</f>
        <v>0</v>
      </c>
      <c r="AJ48" s="351">
        <f t="shared" ref="AJ48:AJ50" si="47">G48+N48+U48+AB48</f>
        <v>0</v>
      </c>
      <c r="AK48" s="351">
        <f t="shared" ref="AK48:AK50" si="48">H48+O48+V48+AC48</f>
        <v>0</v>
      </c>
      <c r="AL48" s="351">
        <f t="shared" ref="AL48:AM50" si="49">I48+P48+W48+AD48</f>
        <v>0</v>
      </c>
      <c r="AM48" s="351">
        <f t="shared" si="49"/>
        <v>0</v>
      </c>
      <c r="AN48" s="351">
        <f t="shared" ref="AN48:AN50" si="50">J48+Q48+X48+AF48</f>
        <v>0</v>
      </c>
    </row>
    <row r="49" spans="1:40" s="362" customFormat="1" x14ac:dyDescent="0.25">
      <c r="A49" s="14" t="s">
        <v>661</v>
      </c>
      <c r="B49" s="417" t="s">
        <v>740</v>
      </c>
      <c r="C49" s="390" t="s">
        <v>726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>
        <f t="shared" si="45"/>
        <v>0</v>
      </c>
      <c r="AI49" s="351">
        <f t="shared" si="46"/>
        <v>0</v>
      </c>
      <c r="AJ49" s="351">
        <f t="shared" si="47"/>
        <v>0</v>
      </c>
      <c r="AK49" s="351">
        <f t="shared" si="48"/>
        <v>0</v>
      </c>
      <c r="AL49" s="351">
        <f t="shared" si="49"/>
        <v>0</v>
      </c>
      <c r="AM49" s="351">
        <f t="shared" si="49"/>
        <v>0</v>
      </c>
      <c r="AN49" s="351">
        <f t="shared" si="50"/>
        <v>0</v>
      </c>
    </row>
    <row r="50" spans="1:40" s="362" customFormat="1" ht="38.25" x14ac:dyDescent="0.25">
      <c r="A50" s="14" t="s">
        <v>662</v>
      </c>
      <c r="B50" s="417" t="s">
        <v>741</v>
      </c>
      <c r="C50" s="390" t="s">
        <v>727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>
        <f t="shared" si="45"/>
        <v>0</v>
      </c>
      <c r="AI50" s="351">
        <f t="shared" si="46"/>
        <v>0</v>
      </c>
      <c r="AJ50" s="351">
        <f t="shared" si="47"/>
        <v>0</v>
      </c>
      <c r="AK50" s="351">
        <f t="shared" si="48"/>
        <v>0</v>
      </c>
      <c r="AL50" s="351">
        <f t="shared" si="49"/>
        <v>0</v>
      </c>
      <c r="AM50" s="351"/>
      <c r="AN50" s="351">
        <f t="shared" si="50"/>
        <v>0</v>
      </c>
    </row>
    <row r="51" spans="1:40" s="200" customFormat="1" ht="31.5" x14ac:dyDescent="0.25">
      <c r="A51" s="197" t="s">
        <v>114</v>
      </c>
      <c r="B51" s="11" t="s">
        <v>115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</row>
    <row r="52" spans="1:40" s="196" customFormat="1" ht="31.5" x14ac:dyDescent="0.25">
      <c r="A52" s="194" t="s">
        <v>116</v>
      </c>
      <c r="B52" s="65" t="s">
        <v>117</v>
      </c>
      <c r="C52" s="195">
        <v>0</v>
      </c>
      <c r="D52" s="195">
        <f>D53</f>
        <v>0</v>
      </c>
      <c r="E52" s="195">
        <f t="shared" ref="E52:AH52" si="51">E53</f>
        <v>0</v>
      </c>
      <c r="F52" s="195">
        <f t="shared" si="51"/>
        <v>0</v>
      </c>
      <c r="G52" s="195">
        <f t="shared" si="51"/>
        <v>0</v>
      </c>
      <c r="H52" s="195">
        <f t="shared" si="51"/>
        <v>0</v>
      </c>
      <c r="I52" s="195">
        <f t="shared" si="51"/>
        <v>0</v>
      </c>
      <c r="J52" s="195">
        <f t="shared" si="51"/>
        <v>0</v>
      </c>
      <c r="K52" s="195">
        <f t="shared" si="51"/>
        <v>0</v>
      </c>
      <c r="L52" s="195">
        <f t="shared" si="51"/>
        <v>0</v>
      </c>
      <c r="M52" s="195">
        <f t="shared" si="51"/>
        <v>0</v>
      </c>
      <c r="N52" s="195">
        <f t="shared" si="51"/>
        <v>0</v>
      </c>
      <c r="O52" s="195">
        <f t="shared" si="51"/>
        <v>0</v>
      </c>
      <c r="P52" s="195">
        <f t="shared" si="51"/>
        <v>0</v>
      </c>
      <c r="Q52" s="195">
        <f t="shared" si="51"/>
        <v>0</v>
      </c>
      <c r="R52" s="195">
        <f t="shared" si="51"/>
        <v>0</v>
      </c>
      <c r="S52" s="195">
        <f t="shared" si="51"/>
        <v>0</v>
      </c>
      <c r="T52" s="195">
        <f t="shared" si="51"/>
        <v>0</v>
      </c>
      <c r="U52" s="195">
        <f t="shared" si="51"/>
        <v>0</v>
      </c>
      <c r="V52" s="195">
        <f t="shared" si="51"/>
        <v>0</v>
      </c>
      <c r="W52" s="195">
        <f t="shared" si="51"/>
        <v>0</v>
      </c>
      <c r="X52" s="195">
        <f t="shared" si="51"/>
        <v>0</v>
      </c>
      <c r="Y52" s="195">
        <f t="shared" si="51"/>
        <v>0</v>
      </c>
      <c r="Z52" s="195">
        <f t="shared" si="51"/>
        <v>8.1018356066666684</v>
      </c>
      <c r="AA52" s="195">
        <f t="shared" ref="AA52" si="52">AA53</f>
        <v>0</v>
      </c>
      <c r="AB52" s="195">
        <f t="shared" ref="AB52" si="53">AB53</f>
        <v>0</v>
      </c>
      <c r="AC52" s="195">
        <f t="shared" ref="AC52" si="54">AC53</f>
        <v>0</v>
      </c>
      <c r="AD52" s="195">
        <f t="shared" ref="AD52" si="55">AD53</f>
        <v>0</v>
      </c>
      <c r="AE52" s="318">
        <f t="shared" ref="AE52" si="56">AE53</f>
        <v>347</v>
      </c>
      <c r="AF52" s="195">
        <f t="shared" ref="AF52" si="57">AF53</f>
        <v>0</v>
      </c>
      <c r="AG52" s="195">
        <f t="shared" si="51"/>
        <v>0</v>
      </c>
      <c r="AH52" s="195">
        <f t="shared" si="51"/>
        <v>8.1018356066666684</v>
      </c>
      <c r="AI52" s="195">
        <f t="shared" ref="AI52" si="58">AI53</f>
        <v>0</v>
      </c>
      <c r="AJ52" s="195">
        <f t="shared" ref="AJ52" si="59">AJ53</f>
        <v>0</v>
      </c>
      <c r="AK52" s="195">
        <f t="shared" ref="AK52" si="60">AK53</f>
        <v>0</v>
      </c>
      <c r="AL52" s="195">
        <f t="shared" ref="AL52" si="61">AL53</f>
        <v>0</v>
      </c>
      <c r="AM52" s="318">
        <f t="shared" ref="AM52" si="62">AM53</f>
        <v>347</v>
      </c>
      <c r="AN52" s="195">
        <f t="shared" ref="AN52" si="63">AN53</f>
        <v>0</v>
      </c>
    </row>
    <row r="53" spans="1:40" s="200" customFormat="1" ht="31.5" outlineLevel="1" x14ac:dyDescent="0.25">
      <c r="A53" s="197" t="s">
        <v>118</v>
      </c>
      <c r="B53" s="11" t="s">
        <v>119</v>
      </c>
      <c r="C53" s="198"/>
      <c r="D53" s="198">
        <f>SUM(D54:D58)</f>
        <v>0</v>
      </c>
      <c r="E53" s="198">
        <f t="shared" ref="E53:AH53" si="64">SUM(E54:E58)</f>
        <v>0</v>
      </c>
      <c r="F53" s="198">
        <f t="shared" si="64"/>
        <v>0</v>
      </c>
      <c r="G53" s="198">
        <f t="shared" si="64"/>
        <v>0</v>
      </c>
      <c r="H53" s="198">
        <f t="shared" si="64"/>
        <v>0</v>
      </c>
      <c r="I53" s="198">
        <f t="shared" si="64"/>
        <v>0</v>
      </c>
      <c r="J53" s="198">
        <f t="shared" si="64"/>
        <v>0</v>
      </c>
      <c r="K53" s="198">
        <f t="shared" si="64"/>
        <v>0</v>
      </c>
      <c r="L53" s="198">
        <f t="shared" si="64"/>
        <v>0</v>
      </c>
      <c r="M53" s="198">
        <f t="shared" si="64"/>
        <v>0</v>
      </c>
      <c r="N53" s="198">
        <f t="shared" si="64"/>
        <v>0</v>
      </c>
      <c r="O53" s="198">
        <f t="shared" si="64"/>
        <v>0</v>
      </c>
      <c r="P53" s="198">
        <f t="shared" si="64"/>
        <v>0</v>
      </c>
      <c r="Q53" s="198">
        <f t="shared" si="64"/>
        <v>0</v>
      </c>
      <c r="R53" s="198">
        <f t="shared" si="64"/>
        <v>0</v>
      </c>
      <c r="S53" s="198">
        <f t="shared" si="64"/>
        <v>0</v>
      </c>
      <c r="T53" s="198">
        <f t="shared" si="64"/>
        <v>0</v>
      </c>
      <c r="U53" s="198">
        <f t="shared" si="64"/>
        <v>0</v>
      </c>
      <c r="V53" s="198">
        <f t="shared" si="64"/>
        <v>0</v>
      </c>
      <c r="W53" s="198">
        <f t="shared" si="64"/>
        <v>0</v>
      </c>
      <c r="X53" s="198">
        <f t="shared" si="64"/>
        <v>0</v>
      </c>
      <c r="Y53" s="198">
        <f t="shared" si="64"/>
        <v>0</v>
      </c>
      <c r="Z53" s="198">
        <f t="shared" si="64"/>
        <v>8.1018356066666684</v>
      </c>
      <c r="AA53" s="198">
        <f t="shared" ref="AA53" si="65">SUM(AA54:AA58)</f>
        <v>0</v>
      </c>
      <c r="AB53" s="198">
        <f t="shared" ref="AB53" si="66">SUM(AB54:AB58)</f>
        <v>0</v>
      </c>
      <c r="AC53" s="198">
        <f t="shared" ref="AC53" si="67">SUM(AC54:AC58)</f>
        <v>0</v>
      </c>
      <c r="AD53" s="198">
        <f t="shared" ref="AD53" si="68">SUM(AD54:AD58)</f>
        <v>0</v>
      </c>
      <c r="AE53" s="319">
        <f t="shared" ref="AE53" si="69">SUM(AE54:AE58)</f>
        <v>347</v>
      </c>
      <c r="AF53" s="198">
        <f t="shared" ref="AF53" si="70">SUM(AF54:AF58)</f>
        <v>0</v>
      </c>
      <c r="AG53" s="198">
        <f t="shared" si="64"/>
        <v>0</v>
      </c>
      <c r="AH53" s="198">
        <f t="shared" si="64"/>
        <v>8.1018356066666684</v>
      </c>
      <c r="AI53" s="198">
        <f t="shared" ref="AI53" si="71">SUM(AI54:AI58)</f>
        <v>0</v>
      </c>
      <c r="AJ53" s="198">
        <f t="shared" ref="AJ53" si="72">SUM(AJ54:AJ58)</f>
        <v>0</v>
      </c>
      <c r="AK53" s="198">
        <f t="shared" ref="AK53" si="73">SUM(AK54:AK58)</f>
        <v>0</v>
      </c>
      <c r="AL53" s="198">
        <f t="shared" ref="AL53" si="74">SUM(AL54:AL58)</f>
        <v>0</v>
      </c>
      <c r="AM53" s="319">
        <f t="shared" ref="AM53" si="75">SUM(AM54:AM58)</f>
        <v>347</v>
      </c>
      <c r="AN53" s="198">
        <f t="shared" ref="AN53" si="76">SUM(AN54:AN58)</f>
        <v>0</v>
      </c>
    </row>
    <row r="54" spans="1:40" s="200" customFormat="1" outlineLevel="1" x14ac:dyDescent="0.25">
      <c r="A54" s="14" t="s">
        <v>701</v>
      </c>
      <c r="B54" s="421" t="s">
        <v>706</v>
      </c>
      <c r="C54" s="390" t="s">
        <v>728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393"/>
      <c r="Z54" s="393">
        <f>Ф4!U54</f>
        <v>8.1018356066666684</v>
      </c>
      <c r="AA54" s="393">
        <f>Ф4!V54</f>
        <v>0</v>
      </c>
      <c r="AB54" s="393">
        <f>Ф4!W54</f>
        <v>0</v>
      </c>
      <c r="AC54" s="393">
        <f>Ф4!X54</f>
        <v>0</v>
      </c>
      <c r="AD54" s="393">
        <f>Ф4!Y54</f>
        <v>0</v>
      </c>
      <c r="AE54" s="462">
        <f>Ф4!Z54</f>
        <v>347</v>
      </c>
      <c r="AF54" s="393">
        <f>Ф4!AA54</f>
        <v>0</v>
      </c>
      <c r="AG54" s="198"/>
      <c r="AH54" s="351">
        <f t="shared" ref="AH54" si="77">E54+L54+S54+Z54</f>
        <v>8.1018356066666684</v>
      </c>
      <c r="AI54" s="351">
        <f t="shared" ref="AI54" si="78">F54+M54+T54+AA54</f>
        <v>0</v>
      </c>
      <c r="AJ54" s="351">
        <f t="shared" ref="AJ54" si="79">G54+N54+U54+AB54</f>
        <v>0</v>
      </c>
      <c r="AK54" s="351">
        <f t="shared" ref="AK54" si="80">H54+O54+V54+AC54</f>
        <v>0</v>
      </c>
      <c r="AL54" s="351">
        <f t="shared" ref="AL54" si="81">I54+P54+W54+AD54</f>
        <v>0</v>
      </c>
      <c r="AM54" s="368">
        <f t="shared" ref="AM54" si="82">J54+Q54+X54+AE54</f>
        <v>347</v>
      </c>
      <c r="AN54" s="351">
        <f t="shared" ref="AN54" si="83">K54+R54+Y54+AF54</f>
        <v>0</v>
      </c>
    </row>
    <row r="55" spans="1:40" s="200" customFormat="1" outlineLevel="1" x14ac:dyDescent="0.25">
      <c r="A55" s="14" t="s">
        <v>702</v>
      </c>
      <c r="B55" s="421" t="s">
        <v>706</v>
      </c>
      <c r="C55" s="390" t="s">
        <v>729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351">
        <f t="shared" ref="AH55:AH58" si="84">E55+L55+S55+Z55</f>
        <v>0</v>
      </c>
      <c r="AI55" s="351">
        <f t="shared" ref="AI55:AI58" si="85">F55+M55+T55+AA55</f>
        <v>0</v>
      </c>
      <c r="AJ55" s="351">
        <f t="shared" ref="AJ55:AJ58" si="86">G55+N55+U55+AB55</f>
        <v>0</v>
      </c>
      <c r="AK55" s="351">
        <f t="shared" ref="AK55:AK58" si="87">H55+O55+V55+AC55</f>
        <v>0</v>
      </c>
      <c r="AL55" s="351">
        <f t="shared" ref="AL55:AL58" si="88">I55+P55+W55+AD55</f>
        <v>0</v>
      </c>
      <c r="AM55" s="351"/>
      <c r="AN55" s="351">
        <f t="shared" ref="AN55:AN58" si="89">J55+Q55+X55+AF55</f>
        <v>0</v>
      </c>
    </row>
    <row r="56" spans="1:40" s="200" customFormat="1" outlineLevel="1" x14ac:dyDescent="0.25">
      <c r="A56" s="14" t="s">
        <v>703</v>
      </c>
      <c r="B56" s="421" t="s">
        <v>706</v>
      </c>
      <c r="C56" s="390" t="s">
        <v>730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351">
        <f t="shared" si="84"/>
        <v>0</v>
      </c>
      <c r="AI56" s="351">
        <f t="shared" si="85"/>
        <v>0</v>
      </c>
      <c r="AJ56" s="351">
        <f t="shared" si="86"/>
        <v>0</v>
      </c>
      <c r="AK56" s="351">
        <f t="shared" si="87"/>
        <v>0</v>
      </c>
      <c r="AL56" s="351">
        <f t="shared" si="88"/>
        <v>0</v>
      </c>
      <c r="AM56" s="351"/>
      <c r="AN56" s="351">
        <f t="shared" si="89"/>
        <v>0</v>
      </c>
    </row>
    <row r="57" spans="1:40" s="200" customFormat="1" outlineLevel="1" x14ac:dyDescent="0.25">
      <c r="A57" s="14" t="s">
        <v>704</v>
      </c>
      <c r="B57" s="421" t="s">
        <v>706</v>
      </c>
      <c r="C57" s="390" t="s">
        <v>731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351">
        <f t="shared" si="84"/>
        <v>0</v>
      </c>
      <c r="AI57" s="351">
        <f t="shared" si="85"/>
        <v>0</v>
      </c>
      <c r="AJ57" s="351">
        <f t="shared" si="86"/>
        <v>0</v>
      </c>
      <c r="AK57" s="351">
        <f t="shared" si="87"/>
        <v>0</v>
      </c>
      <c r="AL57" s="351">
        <f t="shared" si="88"/>
        <v>0</v>
      </c>
      <c r="AM57" s="351"/>
      <c r="AN57" s="351">
        <f t="shared" si="89"/>
        <v>0</v>
      </c>
    </row>
    <row r="58" spans="1:40" s="200" customFormat="1" outlineLevel="1" x14ac:dyDescent="0.25">
      <c r="A58" s="14" t="s">
        <v>705</v>
      </c>
      <c r="B58" s="421" t="s">
        <v>706</v>
      </c>
      <c r="C58" s="390" t="s">
        <v>732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351">
        <f t="shared" si="84"/>
        <v>0</v>
      </c>
      <c r="AI58" s="351">
        <f t="shared" si="85"/>
        <v>0</v>
      </c>
      <c r="AJ58" s="351">
        <f t="shared" si="86"/>
        <v>0</v>
      </c>
      <c r="AK58" s="351">
        <f t="shared" si="87"/>
        <v>0</v>
      </c>
      <c r="AL58" s="351">
        <f t="shared" si="88"/>
        <v>0</v>
      </c>
      <c r="AM58" s="351"/>
      <c r="AN58" s="351">
        <f t="shared" si="89"/>
        <v>0</v>
      </c>
    </row>
    <row r="59" spans="1:40" s="200" customFormat="1" ht="31.5" outlineLevel="1" x14ac:dyDescent="0.25">
      <c r="A59" s="197" t="s">
        <v>120</v>
      </c>
      <c r="B59" s="11" t="s">
        <v>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</row>
    <row r="60" spans="1:40" s="200" customFormat="1" ht="31.5" outlineLevel="1" x14ac:dyDescent="0.25">
      <c r="A60" s="197" t="s">
        <v>50</v>
      </c>
      <c r="B60" s="11" t="s">
        <v>51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</row>
    <row r="61" spans="1:40" s="200" customFormat="1" ht="31.5" outlineLevel="1" x14ac:dyDescent="0.25">
      <c r="A61" s="197" t="s">
        <v>52</v>
      </c>
      <c r="B61" s="11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</row>
    <row r="62" spans="1:40" s="200" customFormat="1" ht="31.5" x14ac:dyDescent="0.25">
      <c r="A62" s="197" t="s">
        <v>54</v>
      </c>
      <c r="B62" s="11" t="s">
        <v>55</v>
      </c>
      <c r="C62" s="198">
        <v>0</v>
      </c>
      <c r="D62" s="198">
        <f>D63</f>
        <v>0</v>
      </c>
      <c r="E62" s="198">
        <f t="shared" ref="E62:AN62" si="90">E63</f>
        <v>0</v>
      </c>
      <c r="F62" s="198">
        <f t="shared" si="90"/>
        <v>0</v>
      </c>
      <c r="G62" s="198">
        <f t="shared" si="90"/>
        <v>0</v>
      </c>
      <c r="H62" s="198">
        <f t="shared" si="90"/>
        <v>0</v>
      </c>
      <c r="I62" s="198">
        <f t="shared" si="90"/>
        <v>0</v>
      </c>
      <c r="J62" s="198">
        <f t="shared" si="90"/>
        <v>0</v>
      </c>
      <c r="K62" s="198">
        <f t="shared" si="90"/>
        <v>0</v>
      </c>
      <c r="L62" s="198">
        <f t="shared" si="90"/>
        <v>0</v>
      </c>
      <c r="M62" s="198">
        <f t="shared" si="90"/>
        <v>0</v>
      </c>
      <c r="N62" s="198">
        <f t="shared" si="90"/>
        <v>0</v>
      </c>
      <c r="O62" s="198">
        <f t="shared" si="90"/>
        <v>0</v>
      </c>
      <c r="P62" s="198">
        <f t="shared" si="90"/>
        <v>0</v>
      </c>
      <c r="Q62" s="198">
        <f t="shared" si="90"/>
        <v>0</v>
      </c>
      <c r="R62" s="198">
        <f t="shared" si="90"/>
        <v>0</v>
      </c>
      <c r="S62" s="198">
        <f t="shared" si="90"/>
        <v>0</v>
      </c>
      <c r="T62" s="198">
        <f t="shared" si="90"/>
        <v>0</v>
      </c>
      <c r="U62" s="198">
        <f t="shared" si="90"/>
        <v>0</v>
      </c>
      <c r="V62" s="198">
        <f t="shared" si="90"/>
        <v>0</v>
      </c>
      <c r="W62" s="198">
        <f t="shared" si="90"/>
        <v>0</v>
      </c>
      <c r="X62" s="198">
        <f t="shared" si="90"/>
        <v>0</v>
      </c>
      <c r="Y62" s="198">
        <f t="shared" si="90"/>
        <v>0</v>
      </c>
      <c r="Z62" s="198">
        <f t="shared" si="90"/>
        <v>0</v>
      </c>
      <c r="AA62" s="198">
        <f t="shared" si="90"/>
        <v>0</v>
      </c>
      <c r="AB62" s="198">
        <f t="shared" si="90"/>
        <v>0</v>
      </c>
      <c r="AC62" s="198">
        <f t="shared" si="90"/>
        <v>0</v>
      </c>
      <c r="AD62" s="198">
        <f t="shared" si="90"/>
        <v>0</v>
      </c>
      <c r="AE62" s="198"/>
      <c r="AF62" s="198">
        <f t="shared" si="90"/>
        <v>0</v>
      </c>
      <c r="AG62" s="198">
        <f t="shared" si="90"/>
        <v>0</v>
      </c>
      <c r="AH62" s="198">
        <f t="shared" si="90"/>
        <v>0</v>
      </c>
      <c r="AI62" s="198">
        <f t="shared" si="90"/>
        <v>0</v>
      </c>
      <c r="AJ62" s="198">
        <f t="shared" si="90"/>
        <v>0</v>
      </c>
      <c r="AK62" s="198">
        <f t="shared" si="90"/>
        <v>0</v>
      </c>
      <c r="AL62" s="198">
        <f t="shared" si="90"/>
        <v>0</v>
      </c>
      <c r="AM62" s="198"/>
      <c r="AN62" s="198">
        <f t="shared" si="90"/>
        <v>0</v>
      </c>
    </row>
    <row r="63" spans="1:40" s="362" customFormat="1" x14ac:dyDescent="0.25">
      <c r="A63" s="197"/>
      <c r="B63" s="1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</row>
    <row r="64" spans="1:40" s="134" customFormat="1" ht="31.5" hidden="1" outlineLevel="1" x14ac:dyDescent="0.25">
      <c r="A64" s="14" t="s">
        <v>56</v>
      </c>
      <c r="B64" s="11" t="s">
        <v>57</v>
      </c>
      <c r="C64" s="204"/>
      <c r="D64" s="204"/>
      <c r="E64" s="205"/>
      <c r="F64" s="205"/>
      <c r="G64" s="204"/>
      <c r="H64" s="206"/>
      <c r="I64" s="206"/>
      <c r="J64" s="207"/>
      <c r="K64" s="204"/>
      <c r="L64" s="204"/>
      <c r="M64" s="208"/>
      <c r="N64" s="204"/>
      <c r="O64" s="204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326"/>
    </row>
    <row r="65" spans="1:40" ht="31.5" hidden="1" outlineLevel="1" x14ac:dyDescent="0.25">
      <c r="A65" s="60" t="s">
        <v>58</v>
      </c>
      <c r="B65" s="61" t="s">
        <v>59</v>
      </c>
      <c r="C65" s="56"/>
      <c r="D65" s="56"/>
      <c r="E65" s="62"/>
      <c r="F65" s="62"/>
      <c r="G65" s="56"/>
      <c r="H65" s="56"/>
      <c r="I65" s="56"/>
      <c r="J65" s="63"/>
      <c r="K65" s="56"/>
      <c r="L65" s="56"/>
      <c r="M65" s="63"/>
      <c r="N65" s="56"/>
      <c r="O65" s="56"/>
      <c r="P65" s="56"/>
      <c r="Q65" s="56"/>
      <c r="R65" s="56"/>
      <c r="S65" s="56"/>
    </row>
    <row r="66" spans="1:40" ht="31.5" hidden="1" outlineLevel="1" x14ac:dyDescent="0.25">
      <c r="A66" s="14" t="s">
        <v>60</v>
      </c>
      <c r="B66" s="16" t="s">
        <v>61</v>
      </c>
      <c r="C66" s="17"/>
      <c r="D66" s="17"/>
      <c r="E66" s="47"/>
      <c r="F66" s="47"/>
      <c r="G66" s="17"/>
      <c r="H66" s="17"/>
      <c r="I66" s="17"/>
      <c r="J66" s="52"/>
      <c r="K66" s="17"/>
      <c r="L66" s="17"/>
      <c r="M66" s="52"/>
      <c r="N66" s="17"/>
      <c r="O66" s="17"/>
      <c r="P66" s="17"/>
      <c r="Q66" s="17"/>
      <c r="R66" s="17"/>
      <c r="S66" s="17"/>
    </row>
    <row r="67" spans="1:40" s="25" customFormat="1" ht="31.5" hidden="1" outlineLevel="1" x14ac:dyDescent="0.25">
      <c r="A67" s="22" t="s">
        <v>62</v>
      </c>
      <c r="B67" s="23" t="s">
        <v>63</v>
      </c>
      <c r="C67" s="24"/>
      <c r="D67" s="24"/>
      <c r="E67" s="48"/>
      <c r="F67" s="48"/>
      <c r="G67" s="24"/>
      <c r="H67" s="24"/>
      <c r="I67" s="24"/>
      <c r="J67" s="53"/>
      <c r="K67" s="24"/>
      <c r="L67" s="24"/>
      <c r="M67" s="53"/>
      <c r="N67" s="24"/>
      <c r="O67" s="24"/>
      <c r="P67" s="24"/>
      <c r="Q67" s="24"/>
      <c r="R67" s="24"/>
      <c r="S67" s="24"/>
    </row>
    <row r="68" spans="1:40" hidden="1" outlineLevel="1" x14ac:dyDescent="0.25">
      <c r="A68" s="14" t="s">
        <v>64</v>
      </c>
      <c r="B68" s="16" t="s">
        <v>65</v>
      </c>
      <c r="C68" s="17"/>
      <c r="D68" s="17"/>
      <c r="E68" s="47"/>
      <c r="F68" s="47"/>
      <c r="G68" s="17"/>
      <c r="H68" s="17"/>
      <c r="I68" s="17"/>
      <c r="J68" s="52"/>
      <c r="K68" s="17"/>
      <c r="L68" s="17"/>
      <c r="M68" s="52"/>
      <c r="N68" s="17"/>
      <c r="O68" s="17"/>
      <c r="P68" s="17"/>
      <c r="Q68" s="17"/>
      <c r="R68" s="17"/>
      <c r="S68" s="17"/>
    </row>
    <row r="69" spans="1:40" ht="31.5" hidden="1" outlineLevel="1" x14ac:dyDescent="0.25">
      <c r="A69" s="14" t="s">
        <v>66</v>
      </c>
      <c r="B69" s="16" t="s">
        <v>67</v>
      </c>
      <c r="C69" s="17"/>
      <c r="D69" s="17"/>
      <c r="E69" s="47"/>
      <c r="F69" s="47"/>
      <c r="G69" s="17"/>
      <c r="H69" s="17"/>
      <c r="I69" s="17"/>
      <c r="J69" s="52"/>
      <c r="K69" s="17"/>
      <c r="L69" s="17"/>
      <c r="M69" s="52"/>
      <c r="N69" s="17"/>
      <c r="O69" s="17"/>
      <c r="P69" s="17"/>
      <c r="Q69" s="17"/>
      <c r="R69" s="17"/>
      <c r="S69" s="17"/>
    </row>
    <row r="70" spans="1:40" s="28" customFormat="1" ht="47.25" hidden="1" outlineLevel="1" collapsed="1" x14ac:dyDescent="0.25">
      <c r="A70" s="20" t="s">
        <v>68</v>
      </c>
      <c r="B70" s="32" t="s">
        <v>69</v>
      </c>
      <c r="C70" s="27"/>
      <c r="D70" s="27"/>
      <c r="E70" s="49"/>
      <c r="F70" s="49"/>
      <c r="G70" s="27"/>
      <c r="H70" s="27"/>
      <c r="I70" s="27"/>
      <c r="J70" s="54"/>
      <c r="K70" s="27"/>
      <c r="L70" s="27"/>
      <c r="M70" s="54"/>
      <c r="N70" s="27"/>
      <c r="O70" s="27"/>
      <c r="P70" s="27"/>
      <c r="Q70" s="27"/>
      <c r="R70" s="27"/>
      <c r="S70" s="27"/>
    </row>
    <row r="71" spans="1:40" s="25" customFormat="1" ht="31.5" hidden="1" outlineLevel="1" x14ac:dyDescent="0.25">
      <c r="A71" s="22" t="s">
        <v>70</v>
      </c>
      <c r="B71" s="23" t="s">
        <v>71</v>
      </c>
      <c r="C71" s="24"/>
      <c r="D71" s="24"/>
      <c r="E71" s="48"/>
      <c r="F71" s="48"/>
      <c r="G71" s="24"/>
      <c r="H71" s="24"/>
      <c r="I71" s="24"/>
      <c r="J71" s="53"/>
      <c r="K71" s="24"/>
      <c r="L71" s="24"/>
      <c r="M71" s="53"/>
      <c r="N71" s="24"/>
      <c r="O71" s="24"/>
      <c r="P71" s="24"/>
      <c r="Q71" s="24"/>
      <c r="R71" s="24"/>
      <c r="S71" s="24"/>
    </row>
    <row r="72" spans="1:40" s="25" customFormat="1" ht="31.5" hidden="1" outlineLevel="1" x14ac:dyDescent="0.25">
      <c r="A72" s="302" t="s">
        <v>72</v>
      </c>
      <c r="B72" s="303" t="s">
        <v>73</v>
      </c>
      <c r="C72" s="304"/>
      <c r="D72" s="304"/>
      <c r="E72" s="305"/>
      <c r="F72" s="305"/>
      <c r="G72" s="304"/>
      <c r="H72" s="304"/>
      <c r="I72" s="304"/>
      <c r="J72" s="306"/>
      <c r="K72" s="304"/>
      <c r="L72" s="304"/>
      <c r="M72" s="306"/>
      <c r="N72" s="304"/>
      <c r="O72" s="304"/>
      <c r="P72" s="304"/>
      <c r="Q72" s="304"/>
      <c r="R72" s="304"/>
      <c r="S72" s="304"/>
    </row>
    <row r="73" spans="1:40" s="310" customFormat="1" collapsed="1" x14ac:dyDescent="0.25">
      <c r="A73" s="20" t="s">
        <v>528</v>
      </c>
      <c r="B73" s="265" t="s">
        <v>529</v>
      </c>
      <c r="C73" s="307"/>
      <c r="D73" s="461">
        <f>SUM(D74:D75)</f>
        <v>0</v>
      </c>
      <c r="E73" s="461">
        <f t="shared" ref="E73:AN73" si="91">SUM(E74:E75)</f>
        <v>0</v>
      </c>
      <c r="F73" s="461">
        <f t="shared" si="91"/>
        <v>0</v>
      </c>
      <c r="G73" s="461">
        <f t="shared" si="91"/>
        <v>0</v>
      </c>
      <c r="H73" s="461">
        <f t="shared" si="91"/>
        <v>0</v>
      </c>
      <c r="I73" s="461">
        <f t="shared" si="91"/>
        <v>0</v>
      </c>
      <c r="J73" s="461">
        <f t="shared" si="91"/>
        <v>0</v>
      </c>
      <c r="K73" s="461">
        <f t="shared" si="91"/>
        <v>0</v>
      </c>
      <c r="L73" s="461">
        <f t="shared" si="91"/>
        <v>0</v>
      </c>
      <c r="M73" s="461">
        <f t="shared" si="91"/>
        <v>0</v>
      </c>
      <c r="N73" s="461">
        <f t="shared" si="91"/>
        <v>0</v>
      </c>
      <c r="O73" s="461">
        <f t="shared" si="91"/>
        <v>0</v>
      </c>
      <c r="P73" s="461">
        <f t="shared" si="91"/>
        <v>0</v>
      </c>
      <c r="Q73" s="461">
        <f t="shared" si="91"/>
        <v>0</v>
      </c>
      <c r="R73" s="461">
        <f t="shared" si="91"/>
        <v>0</v>
      </c>
      <c r="S73" s="461">
        <f t="shared" si="91"/>
        <v>0</v>
      </c>
      <c r="T73" s="461">
        <f t="shared" si="91"/>
        <v>0</v>
      </c>
      <c r="U73" s="461">
        <f t="shared" si="91"/>
        <v>0</v>
      </c>
      <c r="V73" s="461">
        <f t="shared" si="91"/>
        <v>0</v>
      </c>
      <c r="W73" s="461">
        <f t="shared" si="91"/>
        <v>0</v>
      </c>
      <c r="X73" s="461">
        <f t="shared" si="91"/>
        <v>0</v>
      </c>
      <c r="Y73" s="461">
        <f t="shared" si="91"/>
        <v>0</v>
      </c>
      <c r="Z73" s="461">
        <f t="shared" si="91"/>
        <v>0</v>
      </c>
      <c r="AA73" s="461">
        <f t="shared" si="91"/>
        <v>0</v>
      </c>
      <c r="AB73" s="461">
        <f t="shared" si="91"/>
        <v>0</v>
      </c>
      <c r="AC73" s="461">
        <f t="shared" si="91"/>
        <v>0</v>
      </c>
      <c r="AD73" s="461">
        <f t="shared" si="91"/>
        <v>0</v>
      </c>
      <c r="AE73" s="461"/>
      <c r="AF73" s="461">
        <f t="shared" si="91"/>
        <v>0</v>
      </c>
      <c r="AG73" s="461">
        <f t="shared" si="91"/>
        <v>0</v>
      </c>
      <c r="AH73" s="461">
        <f t="shared" si="91"/>
        <v>0</v>
      </c>
      <c r="AI73" s="461">
        <f t="shared" si="91"/>
        <v>0</v>
      </c>
      <c r="AJ73" s="461">
        <f t="shared" si="91"/>
        <v>0</v>
      </c>
      <c r="AK73" s="461">
        <f t="shared" si="91"/>
        <v>0</v>
      </c>
      <c r="AL73" s="461">
        <f t="shared" si="91"/>
        <v>0</v>
      </c>
      <c r="AM73" s="461"/>
      <c r="AN73" s="461">
        <f t="shared" si="91"/>
        <v>0</v>
      </c>
    </row>
    <row r="74" spans="1:40" s="345" customFormat="1" x14ac:dyDescent="0.25">
      <c r="A74" s="341" t="s">
        <v>530</v>
      </c>
      <c r="B74" s="419" t="s">
        <v>708</v>
      </c>
      <c r="C74" s="390" t="s">
        <v>733</v>
      </c>
      <c r="D74" s="358"/>
      <c r="E74" s="369"/>
      <c r="F74" s="369"/>
      <c r="G74" s="358"/>
      <c r="H74" s="358"/>
      <c r="I74" s="358"/>
      <c r="J74" s="363"/>
      <c r="K74" s="358"/>
      <c r="L74" s="358"/>
      <c r="M74" s="363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1">
        <f t="shared" ref="AH74:AH75" si="92">E74+L74+S74+Z74</f>
        <v>0</v>
      </c>
      <c r="AI74" s="351">
        <f t="shared" ref="AI74:AI75" si="93">F74+M74+T74+AA74</f>
        <v>0</v>
      </c>
      <c r="AJ74" s="351">
        <f t="shared" ref="AJ74:AJ75" si="94">G74+N74+U74+AB74</f>
        <v>0</v>
      </c>
      <c r="AK74" s="351">
        <f t="shared" ref="AK74:AK75" si="95">H74+O74+V74+AC74</f>
        <v>0</v>
      </c>
      <c r="AL74" s="351">
        <f t="shared" ref="AL74:AL75" si="96">I74+P74+W74+AD74</f>
        <v>0</v>
      </c>
      <c r="AM74" s="351"/>
      <c r="AN74" s="351">
        <f t="shared" ref="AN74:AN75" si="97">J74+Q74+X74+AF74</f>
        <v>0</v>
      </c>
    </row>
    <row r="75" spans="1:40" s="345" customFormat="1" x14ac:dyDescent="0.25">
      <c r="A75" s="341" t="s">
        <v>707</v>
      </c>
      <c r="B75" s="419" t="s">
        <v>709</v>
      </c>
      <c r="C75" s="390" t="s">
        <v>734</v>
      </c>
      <c r="D75" s="358"/>
      <c r="E75" s="369"/>
      <c r="F75" s="369"/>
      <c r="G75" s="358"/>
      <c r="H75" s="358"/>
      <c r="I75" s="358"/>
      <c r="J75" s="363"/>
      <c r="K75" s="358"/>
      <c r="L75" s="358"/>
      <c r="M75" s="363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1">
        <f t="shared" si="92"/>
        <v>0</v>
      </c>
      <c r="AI75" s="351">
        <f t="shared" si="93"/>
        <v>0</v>
      </c>
      <c r="AJ75" s="351">
        <f t="shared" si="94"/>
        <v>0</v>
      </c>
      <c r="AK75" s="351">
        <f t="shared" si="95"/>
        <v>0</v>
      </c>
      <c r="AL75" s="351">
        <f t="shared" si="96"/>
        <v>0</v>
      </c>
      <c r="AM75" s="351"/>
      <c r="AN75" s="351">
        <f t="shared" si="97"/>
        <v>0</v>
      </c>
    </row>
    <row r="78" spans="1:40" ht="18.75" x14ac:dyDescent="0.25">
      <c r="B78" s="278" t="s">
        <v>77</v>
      </c>
      <c r="C78" s="279"/>
      <c r="D78" s="279"/>
      <c r="E78" s="279" t="s">
        <v>668</v>
      </c>
    </row>
    <row r="79" spans="1:40" ht="18.75" x14ac:dyDescent="0.25">
      <c r="B79" s="278"/>
      <c r="C79" s="279"/>
      <c r="D79" s="279"/>
      <c r="E79" s="279"/>
    </row>
    <row r="80" spans="1:40" ht="18.75" x14ac:dyDescent="0.25">
      <c r="B80" s="278"/>
      <c r="C80" s="279"/>
      <c r="D80" s="279"/>
      <c r="E80" s="279"/>
    </row>
    <row r="83" spans="1:34" s="41" customFormat="1" x14ac:dyDescent="0.25">
      <c r="A83" s="613" t="s">
        <v>207</v>
      </c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136"/>
      <c r="R83" s="161"/>
      <c r="S83" s="161"/>
      <c r="T83" s="161"/>
      <c r="U83" s="161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</row>
    <row r="84" spans="1:34" s="41" customFormat="1" x14ac:dyDescent="0.25">
      <c r="A84" s="614" t="s">
        <v>208</v>
      </c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139"/>
      <c r="R84" s="162"/>
      <c r="S84" s="162"/>
      <c r="T84" s="162"/>
      <c r="U84" s="162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</row>
    <row r="85" spans="1:34" s="41" customFormat="1" x14ac:dyDescent="0.25">
      <c r="A85" s="614" t="s">
        <v>209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139"/>
      <c r="R85" s="162"/>
      <c r="S85" s="162"/>
      <c r="T85" s="162"/>
      <c r="U85" s="162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</row>
    <row r="86" spans="1:34" s="41" customFormat="1" x14ac:dyDescent="0.25">
      <c r="A86" s="614" t="s">
        <v>210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139"/>
      <c r="R86" s="162"/>
      <c r="S86" s="162"/>
      <c r="T86" s="162"/>
      <c r="U86" s="162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</row>
  </sheetData>
  <mergeCells count="26">
    <mergeCell ref="E14:J14"/>
    <mergeCell ref="L14:Q14"/>
    <mergeCell ref="S14:X14"/>
    <mergeCell ref="Z14:AF14"/>
    <mergeCell ref="AH14:AN14"/>
    <mergeCell ref="D13:J13"/>
    <mergeCell ref="K13:Q13"/>
    <mergeCell ref="R13:X13"/>
    <mergeCell ref="Y13:AF13"/>
    <mergeCell ref="AG13:AN13"/>
    <mergeCell ref="A83:P83"/>
    <mergeCell ref="A84:P84"/>
    <mergeCell ref="A85:P85"/>
    <mergeCell ref="A86:P86"/>
    <mergeCell ref="A1:AN1"/>
    <mergeCell ref="A2:AN2"/>
    <mergeCell ref="A4:AN4"/>
    <mergeCell ref="A5:AN5"/>
    <mergeCell ref="A7:AN7"/>
    <mergeCell ref="A9:AN9"/>
    <mergeCell ref="A10:AN10"/>
    <mergeCell ref="A11:AN11"/>
    <mergeCell ref="A12:A15"/>
    <mergeCell ref="B12:B15"/>
    <mergeCell ref="C12:C15"/>
    <mergeCell ref="D12:AN12"/>
  </mergeCells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15</vt:i4>
      </vt:variant>
    </vt:vector>
  </HeadingPairs>
  <TitlesOfParts>
    <vt:vector size="40" baseType="lpstr">
      <vt:lpstr>Ф1 2022</vt:lpstr>
      <vt:lpstr>Ф1 2023</vt:lpstr>
      <vt:lpstr>Ф1 2024</vt:lpstr>
      <vt:lpstr>Ф1 2025</vt:lpstr>
      <vt:lpstr>Ф1 2026</vt:lpstr>
      <vt:lpstr>Ф2</vt:lpstr>
      <vt:lpstr>Ф3</vt:lpstr>
      <vt:lpstr>Ф4</vt:lpstr>
      <vt:lpstr>Ф5 2022</vt:lpstr>
      <vt:lpstr>Ф5 2023</vt:lpstr>
      <vt:lpstr>Ф5 2024</vt:lpstr>
      <vt:lpstr>Ф5 2025</vt:lpstr>
      <vt:lpstr>Ф5 2026</vt:lpstr>
      <vt:lpstr>Ф6</vt:lpstr>
      <vt:lpstr>Ф7</vt:lpstr>
      <vt:lpstr>Ф9</vt:lpstr>
      <vt:lpstr>Ф10</vt:lpstr>
      <vt:lpstr>Ф12</vt:lpstr>
      <vt:lpstr>Ф13</vt:lpstr>
      <vt:lpstr>Ф14</vt:lpstr>
      <vt:lpstr>Ф17</vt:lpstr>
      <vt:lpstr>Ф 18</vt:lpstr>
      <vt:lpstr>ФП</vt:lpstr>
      <vt:lpstr>Лист1</vt:lpstr>
      <vt:lpstr>код</vt:lpstr>
      <vt:lpstr>'Ф1 2022'!Область_печати</vt:lpstr>
      <vt:lpstr>Ф10!Область_печати</vt:lpstr>
      <vt:lpstr>Ф12!Область_печати</vt:lpstr>
      <vt:lpstr>Ф13!Область_печати</vt:lpstr>
      <vt:lpstr>Ф14!Область_печати</vt:lpstr>
      <vt:lpstr>Ф4!Область_печати</vt:lpstr>
      <vt:lpstr>'Ф5 2022'!Область_печати</vt:lpstr>
      <vt:lpstr>'Ф5 2023'!Область_печати</vt:lpstr>
      <vt:lpstr>'Ф5 2024'!Область_печати</vt:lpstr>
      <vt:lpstr>'Ф5 2025'!Область_печати</vt:lpstr>
      <vt:lpstr>'Ф5 2026'!Область_печати</vt:lpstr>
      <vt:lpstr>Ф6!Область_печати</vt:lpstr>
      <vt:lpstr>Ф7!Область_печати</vt:lpstr>
      <vt:lpstr>Ф9!Область_печати</vt:lpstr>
      <vt:lpstr>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Вяткин</dc:creator>
  <cp:lastModifiedBy>Екатерина Шабанова</cp:lastModifiedBy>
  <cp:lastPrinted>2020-02-18T04:37:39Z</cp:lastPrinted>
  <dcterms:created xsi:type="dcterms:W3CDTF">2019-09-02T02:45:04Z</dcterms:created>
  <dcterms:modified xsi:type="dcterms:W3CDTF">2021-02-19T08:51:24Z</dcterms:modified>
</cp:coreProperties>
</file>