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55" yWindow="-240" windowWidth="15840" windowHeight="11910" tabRatio="846" activeTab="21"/>
  </bookViews>
  <sheets>
    <sheet name="Ф1 2022" sheetId="1" r:id="rId1"/>
    <sheet name="Ф1 2023" sheetId="2" r:id="rId2"/>
    <sheet name="Ф1 2024" sheetId="28" r:id="rId3"/>
    <sheet name="Ф1 2025" sheetId="29" r:id="rId4"/>
    <sheet name="Ф1 2026" sheetId="30" r:id="rId5"/>
    <sheet name="Ф2" sheetId="4" r:id="rId6"/>
    <sheet name="Ф3" sheetId="8" r:id="rId7"/>
    <sheet name="Ф4" sheetId="10" r:id="rId8"/>
    <sheet name="Ф5 2023" sheetId="31" r:id="rId9"/>
    <sheet name="Ф5 2024" sheetId="35" r:id="rId10"/>
    <sheet name="Ф5 2025" sheetId="36" r:id="rId11"/>
    <sheet name="Ф5 2026" sheetId="37" r:id="rId12"/>
    <sheet name="Ф6" sheetId="14" r:id="rId13"/>
    <sheet name="Ф7" sheetId="15" r:id="rId14"/>
    <sheet name="Ф9" sheetId="16" r:id="rId15"/>
    <sheet name="Ф10" sheetId="17" r:id="rId16"/>
    <sheet name="Ф12" sheetId="18" r:id="rId17"/>
    <sheet name="Ф13" sheetId="19" r:id="rId18"/>
    <sheet name="Ф14" sheetId="20" r:id="rId19"/>
    <sheet name="Ф17" sheetId="5" r:id="rId20"/>
    <sheet name="Ф 18" sheetId="21" r:id="rId21"/>
    <sheet name="источники финансирования" sheetId="39" r:id="rId22"/>
    <sheet name="ФП" sheetId="38" r:id="rId23"/>
    <sheet name="Лист1" sheetId="25" r:id="rId24"/>
    <sheet name="код" sheetId="27" r:id="rId25"/>
  </sheets>
  <definedNames>
    <definedName name="_xlnm.Print_Area" localSheetId="0">'Ф1 2022'!$A$1:$W$31</definedName>
    <definedName name="_xlnm.Print_Area" localSheetId="15">Ф10!$A$1:$R$48</definedName>
    <definedName name="_xlnm.Print_Area" localSheetId="16">Ф12!$A$1:$AE$50</definedName>
    <definedName name="_xlnm.Print_Area" localSheetId="17">Ф13!$A$1:$K$39</definedName>
    <definedName name="_xlnm.Print_Area" localSheetId="18">Ф14!$A$1:$AB$46</definedName>
    <definedName name="_xlnm.Print_Area" localSheetId="7">Ф4!$A$1:$DL$54</definedName>
    <definedName name="_xlnm.Print_Area" localSheetId="8">'Ф5 2023'!$A$1:$AN$54</definedName>
    <definedName name="_xlnm.Print_Area" localSheetId="9">'Ф5 2024'!$A$1:$AN$54</definedName>
    <definedName name="_xlnm.Print_Area" localSheetId="10">'Ф5 2025'!$A$1:$AN$54</definedName>
    <definedName name="_xlnm.Print_Area" localSheetId="11">'Ф5 2026'!$A$1:$AN$54</definedName>
    <definedName name="_xlnm.Print_Area" localSheetId="12">Ф6!$A$1:$BV$57</definedName>
    <definedName name="_xlnm.Print_Area" localSheetId="13">Ф7!$A$6:$DL$57</definedName>
    <definedName name="_xlnm.Print_Area" localSheetId="14">Ф9!$A$1:$K$51</definedName>
    <definedName name="_xlnm.Print_Area" localSheetId="22">ФП!$A$1:$W$373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39" l="1"/>
  <c r="P46" i="39"/>
  <c r="T46" i="39" s="1"/>
  <c r="T59" i="39"/>
  <c r="T28" i="39"/>
  <c r="S28" i="39"/>
  <c r="M46" i="39"/>
  <c r="V12" i="18"/>
  <c r="U12" i="18"/>
  <c r="V13" i="18"/>
  <c r="U13" i="18"/>
  <c r="V14" i="18"/>
  <c r="U14" i="18"/>
  <c r="U20" i="18"/>
  <c r="V21" i="18"/>
  <c r="V20" i="18"/>
  <c r="V16" i="18"/>
  <c r="V15" i="18"/>
  <c r="U16" i="18"/>
  <c r="DK39" i="15" l="1"/>
  <c r="DK17" i="15" s="1"/>
  <c r="DK16" i="15" s="1"/>
  <c r="DK18" i="15"/>
  <c r="DJ34" i="15"/>
  <c r="DJ35" i="15"/>
  <c r="DJ36" i="15"/>
  <c r="DJ37" i="15"/>
  <c r="DJ38" i="15"/>
  <c r="DJ33" i="15"/>
  <c r="DK41" i="15"/>
  <c r="DK42" i="15"/>
  <c r="DK40" i="15"/>
  <c r="CV30" i="15"/>
  <c r="CV29" i="15"/>
  <c r="CV28" i="15"/>
  <c r="CV25" i="15" s="1"/>
  <c r="CV24" i="15" s="1"/>
  <c r="CV27" i="15"/>
  <c r="CV26" i="15"/>
  <c r="DH25" i="15"/>
  <c r="DF25" i="15"/>
  <c r="DD25" i="15"/>
  <c r="DD24" i="15" s="1"/>
  <c r="DD18" i="15" s="1"/>
  <c r="DD17" i="15" s="1"/>
  <c r="DD16" i="15" s="1"/>
  <c r="CX25" i="15"/>
  <c r="DK24" i="15"/>
  <c r="DJ24" i="15"/>
  <c r="DI24" i="15"/>
  <c r="DH24" i="15"/>
  <c r="DG24" i="15"/>
  <c r="DF24" i="15"/>
  <c r="DF18" i="15" s="1"/>
  <c r="DF17" i="15" s="1"/>
  <c r="DF16" i="15" s="1"/>
  <c r="DE24" i="15"/>
  <c r="DC24" i="15"/>
  <c r="DB24" i="15"/>
  <c r="DA24" i="15"/>
  <c r="CZ24" i="15"/>
  <c r="CZ18" i="15" s="1"/>
  <c r="CZ17" i="15" s="1"/>
  <c r="CZ16" i="15" s="1"/>
  <c r="CY24" i="15"/>
  <c r="CY18" i="15" s="1"/>
  <c r="CY17" i="15" s="1"/>
  <c r="CY16" i="15" s="1"/>
  <c r="CX24" i="15"/>
  <c r="CX18" i="15" s="1"/>
  <c r="CX17" i="15" s="1"/>
  <c r="CX16" i="15" s="1"/>
  <c r="CW24" i="15"/>
  <c r="DD20" i="15"/>
  <c r="CV20" i="15"/>
  <c r="CV19" i="15" s="1"/>
  <c r="DK19" i="15"/>
  <c r="DJ19" i="15"/>
  <c r="DI19" i="15"/>
  <c r="DH19" i="15"/>
  <c r="DG19" i="15"/>
  <c r="DF19" i="15"/>
  <c r="DE19" i="15"/>
  <c r="DD19" i="15"/>
  <c r="DC19" i="15"/>
  <c r="DC18" i="15" s="1"/>
  <c r="DB19" i="15"/>
  <c r="DA19" i="15"/>
  <c r="CZ19" i="15"/>
  <c r="CY19" i="15"/>
  <c r="CX19" i="15"/>
  <c r="CW19" i="15"/>
  <c r="CV22" i="15"/>
  <c r="DI18" i="15"/>
  <c r="DH18" i="15"/>
  <c r="DG18" i="15"/>
  <c r="DG17" i="15" s="1"/>
  <c r="DG16" i="15" s="1"/>
  <c r="DE18" i="15"/>
  <c r="DB18" i="15"/>
  <c r="DB17" i="15" s="1"/>
  <c r="DB16" i="15" s="1"/>
  <c r="CW18" i="15"/>
  <c r="DH17" i="15"/>
  <c r="DH16" i="15" s="1"/>
  <c r="DC17" i="15"/>
  <c r="DC16" i="15" s="1"/>
  <c r="DI16" i="15"/>
  <c r="DE16" i="15"/>
  <c r="DA16" i="15"/>
  <c r="CW16" i="15"/>
  <c r="CD18" i="15"/>
  <c r="CD17" i="15"/>
  <c r="CD16" i="15" s="1"/>
  <c r="BV18" i="15"/>
  <c r="BV17" i="15" s="1"/>
  <c r="BV16" i="15" s="1"/>
  <c r="BF18" i="15"/>
  <c r="BF17" i="15" s="1"/>
  <c r="BF16" i="15" s="1"/>
  <c r="Z18" i="15"/>
  <c r="Z17" i="15"/>
  <c r="Z16" i="15"/>
  <c r="AH18" i="15"/>
  <c r="AH17" i="15"/>
  <c r="AH16" i="15"/>
  <c r="J18" i="15"/>
  <c r="J17" i="15" s="1"/>
  <c r="J16" i="15" s="1"/>
  <c r="R18" i="15"/>
  <c r="R17" i="15" s="1"/>
  <c r="R16" i="15" s="1"/>
  <c r="CT18" i="15"/>
  <c r="CT17" i="15" s="1"/>
  <c r="CT16" i="15" s="1"/>
  <c r="CL17" i="15"/>
  <c r="CL18" i="15"/>
  <c r="CT32" i="15"/>
  <c r="CT31" i="15"/>
  <c r="CT38" i="15"/>
  <c r="CL38" i="15"/>
  <c r="CE39" i="15"/>
  <c r="CE42" i="15"/>
  <c r="BW42" i="15"/>
  <c r="CD32" i="15"/>
  <c r="CD31" i="15"/>
  <c r="CD37" i="15"/>
  <c r="BV37" i="15"/>
  <c r="CE17" i="15"/>
  <c r="CE16" i="15" s="1"/>
  <c r="BR18" i="15"/>
  <c r="BR17" i="15" s="1"/>
  <c r="BR16" i="15" s="1"/>
  <c r="BZ18" i="15"/>
  <c r="BZ17" i="15"/>
  <c r="BZ16" i="15" s="1"/>
  <c r="BZ30" i="15"/>
  <c r="BZ25" i="15" s="1"/>
  <c r="BZ24" i="15" s="1"/>
  <c r="BX30" i="15"/>
  <c r="BX25" i="15" s="1"/>
  <c r="BX24" i="15" s="1"/>
  <c r="BU24" i="15"/>
  <c r="BY24" i="15"/>
  <c r="BX20" i="15"/>
  <c r="BX19" i="15"/>
  <c r="BP20" i="15"/>
  <c r="BP19" i="15" s="1"/>
  <c r="BP18" i="15" s="1"/>
  <c r="BP17" i="15" s="1"/>
  <c r="BP16" i="15" s="1"/>
  <c r="BP25" i="15"/>
  <c r="BP24" i="15"/>
  <c r="BR30" i="15"/>
  <c r="BP30" i="15"/>
  <c r="BX22" i="15"/>
  <c r="BP22" i="15"/>
  <c r="BN17" i="15"/>
  <c r="BN16" i="15"/>
  <c r="BN35" i="15"/>
  <c r="BN32" i="15"/>
  <c r="BN31" i="15" s="1"/>
  <c r="BO39" i="15"/>
  <c r="BG40" i="15"/>
  <c r="BO17" i="15"/>
  <c r="BO16" i="15" s="1"/>
  <c r="BF35" i="15"/>
  <c r="BE16" i="15"/>
  <c r="BE17" i="15"/>
  <c r="BD18" i="15"/>
  <c r="BD17" i="15" s="1"/>
  <c r="BD16" i="15" s="1"/>
  <c r="BE18" i="15"/>
  <c r="BC18" i="15"/>
  <c r="BC17" i="15" s="1"/>
  <c r="BC16" i="15" s="1"/>
  <c r="BJ25" i="15"/>
  <c r="BJ24" i="15"/>
  <c r="BJ18" i="15" s="1"/>
  <c r="BJ17" i="15" s="1"/>
  <c r="BJ16" i="15" s="1"/>
  <c r="BJ28" i="15"/>
  <c r="BJ27" i="15"/>
  <c r="BL18" i="15"/>
  <c r="BL17" i="15"/>
  <c r="BL16" i="15" s="1"/>
  <c r="BB17" i="15"/>
  <c r="BB18" i="15"/>
  <c r="BL25" i="15"/>
  <c r="BL24" i="15" s="1"/>
  <c r="BL29" i="15"/>
  <c r="AT26" i="15"/>
  <c r="AT25" i="15" s="1"/>
  <c r="AT24" i="15" s="1"/>
  <c r="AT18" i="15" s="1"/>
  <c r="AT17" i="15" s="1"/>
  <c r="AT16" i="15" s="1"/>
  <c r="AR26" i="15"/>
  <c r="AR25" i="15" s="1"/>
  <c r="AR24" i="15" s="1"/>
  <c r="AR18" i="15" s="1"/>
  <c r="AR17" i="15" s="1"/>
  <c r="AR16" i="15" s="1"/>
  <c r="AS24" i="15"/>
  <c r="AP18" i="15"/>
  <c r="AP17" i="15" s="1"/>
  <c r="AP16" i="15" s="1"/>
  <c r="AL18" i="15"/>
  <c r="AL17" i="15" s="1"/>
  <c r="AL16" i="15" s="1"/>
  <c r="AJ18" i="15"/>
  <c r="AJ25" i="15"/>
  <c r="AJ24" i="15" s="1"/>
  <c r="AJ17" i="15" s="1"/>
  <c r="AJ16" i="15" s="1"/>
  <c r="AO17" i="15"/>
  <c r="AN17" i="15"/>
  <c r="AM17" i="15"/>
  <c r="AO24" i="15"/>
  <c r="AL26" i="15"/>
  <c r="AJ26" i="15"/>
  <c r="P25" i="15"/>
  <c r="P24" i="15"/>
  <c r="V21" i="20"/>
  <c r="U21" i="20"/>
  <c r="U20" i="20" s="1"/>
  <c r="U14" i="20" s="1"/>
  <c r="U13" i="20" s="1"/>
  <c r="U12" i="20" s="1"/>
  <c r="V20" i="20"/>
  <c r="V25" i="20"/>
  <c r="AI19" i="36"/>
  <c r="AA19" i="36"/>
  <c r="AI26" i="36"/>
  <c r="AI25" i="36" s="1"/>
  <c r="AA26" i="36"/>
  <c r="AA25" i="36"/>
  <c r="AM33" i="35"/>
  <c r="AM32" i="35"/>
  <c r="AE33" i="35"/>
  <c r="AE32" i="35"/>
  <c r="V21" i="30"/>
  <c r="V20" i="30"/>
  <c r="V19" i="30"/>
  <c r="V18" i="30" s="1"/>
  <c r="V17" i="30" s="1"/>
  <c r="Q24" i="30"/>
  <c r="Q23" i="30"/>
  <c r="Q19" i="30" s="1"/>
  <c r="Q18" i="30" s="1"/>
  <c r="Q17" i="30" s="1"/>
  <c r="Q21" i="30"/>
  <c r="Q20" i="30" s="1"/>
  <c r="Q27" i="29"/>
  <c r="Q26" i="29"/>
  <c r="Q19" i="29" s="1"/>
  <c r="Q18" i="29" s="1"/>
  <c r="Q17" i="29" s="1"/>
  <c r="Q24" i="29"/>
  <c r="Q23" i="29" s="1"/>
  <c r="O19" i="29"/>
  <c r="O18" i="29" s="1"/>
  <c r="O17" i="29" s="1"/>
  <c r="N19" i="29"/>
  <c r="N18" i="29"/>
  <c r="N17" i="29" s="1"/>
  <c r="Q26" i="1"/>
  <c r="Q25" i="1"/>
  <c r="Q19" i="1" s="1"/>
  <c r="Q18" i="1" s="1"/>
  <c r="Q17" i="1" s="1"/>
  <c r="K19" i="29"/>
  <c r="K22" i="29"/>
  <c r="K25" i="29"/>
  <c r="N28" i="15"/>
  <c r="N27" i="15"/>
  <c r="N30" i="15"/>
  <c r="DJ32" i="15" l="1"/>
  <c r="DJ31" i="15" s="1"/>
  <c r="DJ18" i="15" s="1"/>
  <c r="DJ17" i="15" s="1"/>
  <c r="DJ16" i="15" s="1"/>
  <c r="BX18" i="15"/>
  <c r="BX17" i="15" s="1"/>
  <c r="BX16" i="15" s="1"/>
  <c r="O46" i="39"/>
  <c r="K59" i="39"/>
  <c r="S59" i="39" s="1"/>
  <c r="K46" i="39"/>
  <c r="I46" i="39"/>
  <c r="S46" i="39" s="1"/>
  <c r="R52" i="39"/>
  <c r="P52" i="39"/>
  <c r="J52" i="39"/>
  <c r="R77" i="39"/>
  <c r="Q77" i="39"/>
  <c r="P77" i="39"/>
  <c r="O77" i="39"/>
  <c r="N77" i="39"/>
  <c r="M77" i="39"/>
  <c r="L77" i="39"/>
  <c r="K77" i="39"/>
  <c r="J77" i="39"/>
  <c r="T77" i="39" s="1"/>
  <c r="I77" i="39"/>
  <c r="R22" i="39"/>
  <c r="R21" i="39" s="1"/>
  <c r="P22" i="39"/>
  <c r="P21" i="39" s="1"/>
  <c r="L22" i="39"/>
  <c r="L21" i="39" s="1"/>
  <c r="S22" i="39"/>
  <c r="S21" i="39" s="1"/>
  <c r="Q22" i="39"/>
  <c r="Q21" i="39" s="1"/>
  <c r="O22" i="39"/>
  <c r="O21" i="39" s="1"/>
  <c r="N22" i="39"/>
  <c r="N21" i="39" s="1"/>
  <c r="M22" i="39"/>
  <c r="M21" i="39" s="1"/>
  <c r="K22" i="39"/>
  <c r="K21" i="39" s="1"/>
  <c r="J22" i="39"/>
  <c r="J21" i="39" s="1"/>
  <c r="N26" i="20"/>
  <c r="N25" i="20"/>
  <c r="N24" i="20"/>
  <c r="N23" i="20"/>
  <c r="N22" i="20"/>
  <c r="N18" i="20"/>
  <c r="N19" i="20"/>
  <c r="N17" i="20"/>
  <c r="L16" i="20"/>
  <c r="L15" i="20" s="1"/>
  <c r="L14" i="20" s="1"/>
  <c r="L13" i="20" s="1"/>
  <c r="L12" i="20" s="1"/>
  <c r="L28" i="20"/>
  <c r="L27" i="20"/>
  <c r="L33" i="20"/>
  <c r="L36" i="20"/>
  <c r="L35" i="20"/>
  <c r="L34" i="20"/>
  <c r="L32" i="20"/>
  <c r="L31" i="20"/>
  <c r="L30" i="20"/>
  <c r="L29" i="20"/>
  <c r="L26" i="20"/>
  <c r="L25" i="20"/>
  <c r="L24" i="20"/>
  <c r="L23" i="20"/>
  <c r="L22" i="20"/>
  <c r="L18" i="20"/>
  <c r="L19" i="20"/>
  <c r="L17" i="20"/>
  <c r="J14" i="20"/>
  <c r="K14" i="20"/>
  <c r="J35" i="20"/>
  <c r="J36" i="20"/>
  <c r="J34" i="20"/>
  <c r="I35" i="20"/>
  <c r="I36" i="20"/>
  <c r="I34" i="20"/>
  <c r="K36" i="20"/>
  <c r="K35" i="20"/>
  <c r="K34" i="20"/>
  <c r="K31" i="20"/>
  <c r="K32" i="20"/>
  <c r="K30" i="20"/>
  <c r="K29" i="20"/>
  <c r="K26" i="20"/>
  <c r="K25" i="20"/>
  <c r="K24" i="20"/>
  <c r="K23" i="20"/>
  <c r="K22" i="20"/>
  <c r="K18" i="20"/>
  <c r="K19" i="20"/>
  <c r="K17" i="20"/>
  <c r="J32" i="20"/>
  <c r="J31" i="20"/>
  <c r="J30" i="20"/>
  <c r="J29" i="20"/>
  <c r="J26" i="20"/>
  <c r="J25" i="20"/>
  <c r="J24" i="20"/>
  <c r="J23" i="20"/>
  <c r="J22" i="20"/>
  <c r="J18" i="20"/>
  <c r="J19" i="20"/>
  <c r="I18" i="20"/>
  <c r="I19" i="20"/>
  <c r="J17" i="20"/>
  <c r="I31" i="20"/>
  <c r="I32" i="20"/>
  <c r="I30" i="20"/>
  <c r="I29" i="20"/>
  <c r="I26" i="20"/>
  <c r="I25" i="20"/>
  <c r="I24" i="20"/>
  <c r="I23" i="20"/>
  <c r="I22" i="20"/>
  <c r="I17" i="20"/>
  <c r="F36" i="20"/>
  <c r="F35" i="20"/>
  <c r="F34" i="20"/>
  <c r="F32" i="20"/>
  <c r="F31" i="20"/>
  <c r="F30" i="20"/>
  <c r="F29" i="20"/>
  <c r="F23" i="20"/>
  <c r="F24" i="20"/>
  <c r="F25" i="20"/>
  <c r="F26" i="20"/>
  <c r="F22" i="20"/>
  <c r="D35" i="20"/>
  <c r="D36" i="20"/>
  <c r="D34" i="20"/>
  <c r="D31" i="20"/>
  <c r="D32" i="20"/>
  <c r="D30" i="20"/>
  <c r="D29" i="20"/>
  <c r="D26" i="20"/>
  <c r="D25" i="20"/>
  <c r="D24" i="20"/>
  <c r="D23" i="20"/>
  <c r="D22" i="20"/>
  <c r="D18" i="20"/>
  <c r="D19" i="20"/>
  <c r="D17" i="20"/>
  <c r="M19" i="20"/>
  <c r="M18" i="20"/>
  <c r="M17" i="20"/>
  <c r="M26" i="20"/>
  <c r="M25" i="20"/>
  <c r="M24" i="20"/>
  <c r="M23" i="20"/>
  <c r="M22" i="20"/>
  <c r="N30" i="20"/>
  <c r="N35" i="20"/>
  <c r="M35" i="20"/>
  <c r="M30" i="20"/>
  <c r="AH32" i="15"/>
  <c r="AH31" i="15"/>
  <c r="AH33" i="15"/>
  <c r="N25" i="15"/>
  <c r="N24" i="15" s="1"/>
  <c r="N18" i="15" s="1"/>
  <c r="N17" i="15" s="1"/>
  <c r="N16" i="15" s="1"/>
  <c r="H17" i="15"/>
  <c r="H16" i="15" s="1"/>
  <c r="G18" i="15"/>
  <c r="G17" i="15" s="1"/>
  <c r="G16" i="15" s="1"/>
  <c r="H18" i="15"/>
  <c r="P18" i="15"/>
  <c r="P17" i="15" s="1"/>
  <c r="P16" i="15" s="1"/>
  <c r="O18" i="15"/>
  <c r="O17" i="15"/>
  <c r="O16" i="15" s="1"/>
  <c r="T39" i="15"/>
  <c r="S39" i="15"/>
  <c r="S17" i="15" s="1"/>
  <c r="S16" i="15" s="1"/>
  <c r="R32" i="15"/>
  <c r="R31" i="15" s="1"/>
  <c r="J32" i="15"/>
  <c r="L17" i="15"/>
  <c r="D17" i="15"/>
  <c r="L18" i="15"/>
  <c r="D18" i="15"/>
  <c r="D31" i="15"/>
  <c r="L25" i="15"/>
  <c r="L24" i="15" s="1"/>
  <c r="L20" i="15"/>
  <c r="L19" i="15" s="1"/>
  <c r="L16" i="15"/>
  <c r="D25" i="15"/>
  <c r="D20" i="15"/>
  <c r="DL18" i="15"/>
  <c r="CU18" i="15"/>
  <c r="CS18" i="15"/>
  <c r="CR18" i="15"/>
  <c r="CQ18" i="15"/>
  <c r="CP18" i="15"/>
  <c r="CO18" i="15"/>
  <c r="CN18" i="15"/>
  <c r="CM18" i="15"/>
  <c r="CK18" i="15"/>
  <c r="CJ18" i="15"/>
  <c r="CI18" i="15"/>
  <c r="CH18" i="15"/>
  <c r="CG18" i="15"/>
  <c r="CF18" i="15"/>
  <c r="CE18" i="15"/>
  <c r="CC18" i="15"/>
  <c r="CB18" i="15"/>
  <c r="CA18" i="15"/>
  <c r="BY18" i="15"/>
  <c r="BW18" i="15"/>
  <c r="BT18" i="15"/>
  <c r="BS18" i="15"/>
  <c r="BQ18" i="15"/>
  <c r="BO18" i="15"/>
  <c r="BN18" i="15"/>
  <c r="BM18" i="15"/>
  <c r="BK18" i="15"/>
  <c r="BI18" i="15"/>
  <c r="BH18" i="15"/>
  <c r="BG18" i="15"/>
  <c r="BA18" i="15"/>
  <c r="AZ18" i="15"/>
  <c r="AY18" i="15"/>
  <c r="AX18" i="15"/>
  <c r="AW18" i="15"/>
  <c r="AV18" i="15"/>
  <c r="AU18" i="15"/>
  <c r="AS18" i="15"/>
  <c r="AQ18" i="15"/>
  <c r="AO18" i="15"/>
  <c r="AN18" i="15"/>
  <c r="AM18" i="15"/>
  <c r="AK18" i="15"/>
  <c r="AI18" i="15"/>
  <c r="AG18" i="15"/>
  <c r="AF18" i="15"/>
  <c r="AE18" i="15"/>
  <c r="AD18" i="15"/>
  <c r="AC18" i="15"/>
  <c r="AB18" i="15"/>
  <c r="AA18" i="15"/>
  <c r="Y18" i="15"/>
  <c r="X18" i="15"/>
  <c r="W18" i="15"/>
  <c r="V18" i="15"/>
  <c r="U18" i="15"/>
  <c r="T18" i="15"/>
  <c r="S18" i="15"/>
  <c r="Q18" i="15"/>
  <c r="M18" i="15"/>
  <c r="K18" i="15"/>
  <c r="I18" i="15"/>
  <c r="E18" i="15"/>
  <c r="C18" i="15"/>
  <c r="DL41" i="15"/>
  <c r="DJ41" i="15"/>
  <c r="DI41" i="15"/>
  <c r="DH41" i="15"/>
  <c r="DG41" i="15"/>
  <c r="DF41" i="15"/>
  <c r="DE41" i="15"/>
  <c r="DD41" i="15"/>
  <c r="DC41" i="15"/>
  <c r="DB41" i="15"/>
  <c r="CX41" i="15"/>
  <c r="DL36" i="15"/>
  <c r="DK36" i="15"/>
  <c r="DI36" i="15"/>
  <c r="DH36" i="15"/>
  <c r="DG36" i="15"/>
  <c r="DF36" i="15"/>
  <c r="DE36" i="15"/>
  <c r="DD36" i="15"/>
  <c r="DC36" i="15"/>
  <c r="DB36" i="15"/>
  <c r="CX36" i="15"/>
  <c r="DL29" i="15"/>
  <c r="DK29" i="15"/>
  <c r="DJ29" i="15"/>
  <c r="DI29" i="15"/>
  <c r="DH29" i="15"/>
  <c r="DG29" i="15"/>
  <c r="DF29" i="15"/>
  <c r="DE29" i="15"/>
  <c r="DD29" i="15"/>
  <c r="DC29" i="15"/>
  <c r="DB29" i="15"/>
  <c r="CX29" i="15"/>
  <c r="BB29" i="15"/>
  <c r="BT19" i="14"/>
  <c r="BT18" i="14" s="1"/>
  <c r="BT17" i="14" s="1"/>
  <c r="BT33" i="14"/>
  <c r="BT32" i="14" s="1"/>
  <c r="BO33" i="14"/>
  <c r="BH33" i="14"/>
  <c r="BT39" i="14"/>
  <c r="BO39" i="14"/>
  <c r="BO19" i="14"/>
  <c r="BO18" i="14" s="1"/>
  <c r="BO17" i="14" s="1"/>
  <c r="BH19" i="14"/>
  <c r="BH18" i="14" s="1"/>
  <c r="BH17" i="14" s="1"/>
  <c r="BO21" i="14"/>
  <c r="BH21" i="14"/>
  <c r="BI21" i="14"/>
  <c r="BO24" i="14"/>
  <c r="BA32" i="14"/>
  <c r="BF33" i="14"/>
  <c r="BF32" i="14"/>
  <c r="BF19" i="14" s="1"/>
  <c r="BF18" i="14" s="1"/>
  <c r="BF17" i="14" s="1"/>
  <c r="BF38" i="14"/>
  <c r="BA38" i="14"/>
  <c r="BG18" i="14"/>
  <c r="BG17" i="14" s="1"/>
  <c r="BD21" i="14"/>
  <c r="BD20" i="14" s="1"/>
  <c r="BC21" i="14"/>
  <c r="BC20" i="14" s="1"/>
  <c r="BB21" i="14"/>
  <c r="BB20" i="14" s="1"/>
  <c r="BB19" i="14" s="1"/>
  <c r="BB18" i="14" s="1"/>
  <c r="BB17" i="14" s="1"/>
  <c r="BA21" i="14"/>
  <c r="BF20" i="14"/>
  <c r="BE20" i="14"/>
  <c r="BA20" i="14"/>
  <c r="BA19" i="14" s="1"/>
  <c r="BA18" i="14" s="1"/>
  <c r="BA17" i="14" s="1"/>
  <c r="BE19" i="14"/>
  <c r="BE18" i="14" s="1"/>
  <c r="BE17" i="14" s="1"/>
  <c r="BD19" i="14"/>
  <c r="BD18" i="14"/>
  <c r="BD17" i="14" s="1"/>
  <c r="BC17" i="14"/>
  <c r="AU19" i="14"/>
  <c r="AU18" i="14"/>
  <c r="AU17" i="14" s="1"/>
  <c r="AU21" i="14"/>
  <c r="AT21" i="14"/>
  <c r="AX25" i="14"/>
  <c r="BB23" i="14"/>
  <c r="BA23" i="14"/>
  <c r="BD26" i="14"/>
  <c r="BD25" i="14"/>
  <c r="BB26" i="14"/>
  <c r="BB25" i="14"/>
  <c r="AU26" i="14"/>
  <c r="AU25" i="14"/>
  <c r="AT32" i="14"/>
  <c r="BG40" i="14"/>
  <c r="BA40" i="14"/>
  <c r="AT40" i="14"/>
  <c r="BG43" i="14"/>
  <c r="BA43" i="14"/>
  <c r="BD31" i="14"/>
  <c r="BB31" i="14"/>
  <c r="BA31" i="14"/>
  <c r="AW31" i="14"/>
  <c r="AU31" i="14"/>
  <c r="AS42" i="14"/>
  <c r="AS40" i="14" s="1"/>
  <c r="AS18" i="14" s="1"/>
  <c r="AM42" i="14"/>
  <c r="AM40" i="14"/>
  <c r="AF40" i="14"/>
  <c r="AS41" i="14"/>
  <c r="AM41" i="14"/>
  <c r="AR19" i="14"/>
  <c r="AR18" i="14" s="1"/>
  <c r="AR17" i="14" s="1"/>
  <c r="AR33" i="14"/>
  <c r="AR32" i="14"/>
  <c r="AK36" i="14"/>
  <c r="AP19" i="14"/>
  <c r="AP18" i="14" s="1"/>
  <c r="AP17" i="14" s="1"/>
  <c r="AP26" i="14"/>
  <c r="AP25" i="14"/>
  <c r="AP29" i="14"/>
  <c r="AP30" i="14"/>
  <c r="AP28" i="14"/>
  <c r="AM29" i="14"/>
  <c r="AM30" i="14"/>
  <c r="AM26" i="14"/>
  <c r="AM25" i="14" s="1"/>
  <c r="AM28" i="14"/>
  <c r="AI29" i="14"/>
  <c r="AI30" i="14"/>
  <c r="AI28" i="14"/>
  <c r="AF26" i="14"/>
  <c r="AF25" i="14" s="1"/>
  <c r="AF19" i="14"/>
  <c r="AF18" i="14" s="1"/>
  <c r="AF17" i="14" s="1"/>
  <c r="R19" i="14"/>
  <c r="W19" i="14"/>
  <c r="W18" i="14" s="1"/>
  <c r="W17" i="14" s="1"/>
  <c r="W35" i="14"/>
  <c r="AM19" i="14"/>
  <c r="AM18" i="14" s="1"/>
  <c r="AM17" i="14" s="1"/>
  <c r="Y19" i="14"/>
  <c r="Y18" i="14"/>
  <c r="Y17" i="14" s="1"/>
  <c r="AB19" i="14"/>
  <c r="AB18" i="14" s="1"/>
  <c r="AB17" i="14" s="1"/>
  <c r="Z19" i="14"/>
  <c r="Z18" i="14"/>
  <c r="Z17" i="14" s="1"/>
  <c r="AA17" i="14"/>
  <c r="S19" i="14"/>
  <c r="S18" i="14"/>
  <c r="S17" i="14" s="1"/>
  <c r="Z26" i="14"/>
  <c r="Z25" i="14"/>
  <c r="Z27" i="14"/>
  <c r="AA26" i="14"/>
  <c r="V25" i="14"/>
  <c r="Y26" i="14"/>
  <c r="Y25" i="14" s="1"/>
  <c r="Y21" i="14"/>
  <c r="Y20" i="14"/>
  <c r="AE22" i="14"/>
  <c r="AB22" i="14"/>
  <c r="AA22" i="14"/>
  <c r="X22" i="14"/>
  <c r="W22" i="14"/>
  <c r="V22" i="14"/>
  <c r="U22" i="14"/>
  <c r="T22" i="14"/>
  <c r="S22" i="14"/>
  <c r="R26" i="14"/>
  <c r="R25" i="14" s="1"/>
  <c r="AB26" i="14"/>
  <c r="AB25" i="14" s="1"/>
  <c r="AA25" i="14"/>
  <c r="S26" i="14"/>
  <c r="S25" i="14" s="1"/>
  <c r="AB27" i="14"/>
  <c r="U27" i="14"/>
  <c r="D18" i="14"/>
  <c r="D17" i="14" s="1"/>
  <c r="D33" i="14"/>
  <c r="P33" i="14"/>
  <c r="P32" i="14" s="1"/>
  <c r="P19" i="14" s="1"/>
  <c r="P18" i="14" s="1"/>
  <c r="P17" i="14" s="1"/>
  <c r="P34" i="14"/>
  <c r="K34" i="14"/>
  <c r="K33" i="14" s="1"/>
  <c r="K32" i="14" s="1"/>
  <c r="K19" i="14" s="1"/>
  <c r="K18" i="14" s="1"/>
  <c r="K17" i="14" s="1"/>
  <c r="I34" i="14"/>
  <c r="AE39" i="37"/>
  <c r="AD39" i="37"/>
  <c r="Z39" i="37"/>
  <c r="Z24" i="37"/>
  <c r="AM19" i="36"/>
  <c r="AM18" i="36"/>
  <c r="AM17" i="36"/>
  <c r="AI18" i="36"/>
  <c r="AI17" i="36" s="1"/>
  <c r="AA18" i="36"/>
  <c r="AE18" i="36"/>
  <c r="AE19" i="36"/>
  <c r="AE17" i="36" s="1"/>
  <c r="AE33" i="36"/>
  <c r="AE32" i="36" s="1"/>
  <c r="Z33" i="36"/>
  <c r="Z32" i="36" s="1"/>
  <c r="AN38" i="36"/>
  <c r="AM38" i="36"/>
  <c r="AL38" i="36"/>
  <c r="AK38" i="36"/>
  <c r="AJ38" i="36"/>
  <c r="AI38" i="36"/>
  <c r="AH38" i="36"/>
  <c r="AE38" i="36"/>
  <c r="Z38" i="36"/>
  <c r="AL25" i="36"/>
  <c r="AD25" i="36"/>
  <c r="AI31" i="36"/>
  <c r="AH31" i="36"/>
  <c r="AK31" i="36"/>
  <c r="AL31" i="36"/>
  <c r="AC31" i="36"/>
  <c r="AA31" i="36"/>
  <c r="Z31" i="36"/>
  <c r="AI20" i="36"/>
  <c r="AI21" i="36"/>
  <c r="AA21" i="36"/>
  <c r="AA20" i="36"/>
  <c r="AH20" i="36"/>
  <c r="AI23" i="36"/>
  <c r="AA23" i="36"/>
  <c r="Z23" i="36"/>
  <c r="Z43" i="36"/>
  <c r="AF43" i="36"/>
  <c r="AH43" i="36"/>
  <c r="AN43" i="36"/>
  <c r="AL20" i="36"/>
  <c r="AL17" i="36"/>
  <c r="AK26" i="35"/>
  <c r="AK25" i="35"/>
  <c r="AH26" i="35"/>
  <c r="AH25" i="35" s="1"/>
  <c r="AC26" i="35"/>
  <c r="AC25" i="35"/>
  <c r="AK30" i="35"/>
  <c r="AK29" i="35"/>
  <c r="AK28" i="35"/>
  <c r="AH29" i="35"/>
  <c r="AH30" i="35"/>
  <c r="AF37" i="35"/>
  <c r="AE36" i="35"/>
  <c r="Z43" i="35"/>
  <c r="AH43" i="35" s="1"/>
  <c r="Z42" i="35"/>
  <c r="AH42" i="35" s="1"/>
  <c r="Z41" i="35"/>
  <c r="Z37" i="35"/>
  <c r="AH37" i="35" s="1"/>
  <c r="Z36" i="35"/>
  <c r="Z35" i="35"/>
  <c r="Z34" i="35"/>
  <c r="AC30" i="35"/>
  <c r="AC29" i="35"/>
  <c r="AC28" i="35"/>
  <c r="AC27" i="35"/>
  <c r="Z28" i="35"/>
  <c r="Z29" i="35"/>
  <c r="Z30" i="35"/>
  <c r="Z27" i="35"/>
  <c r="AA42" i="35"/>
  <c r="AB42" i="35"/>
  <c r="AC42" i="35"/>
  <c r="AD42" i="35"/>
  <c r="AE42" i="35"/>
  <c r="AG42" i="35"/>
  <c r="AI42" i="35"/>
  <c r="AJ42" i="35"/>
  <c r="AK42" i="35"/>
  <c r="AL42" i="35"/>
  <c r="AM42" i="35"/>
  <c r="AN42" i="35"/>
  <c r="AA43" i="35"/>
  <c r="AB43" i="35"/>
  <c r="AC43" i="35"/>
  <c r="AD43" i="35"/>
  <c r="AE43" i="35"/>
  <c r="AF43" i="35"/>
  <c r="AG43" i="35"/>
  <c r="AI43" i="35"/>
  <c r="AJ43" i="35"/>
  <c r="AK43" i="35"/>
  <c r="AL43" i="35"/>
  <c r="AM43" i="35"/>
  <c r="AN43" i="35"/>
  <c r="AA37" i="35"/>
  <c r="AB37" i="35"/>
  <c r="AC37" i="35"/>
  <c r="AD37" i="35"/>
  <c r="AM37" i="35"/>
  <c r="AT18" i="10"/>
  <c r="AT17" i="10"/>
  <c r="AT19" i="10"/>
  <c r="AT26" i="10"/>
  <c r="AT25" i="10"/>
  <c r="AI19" i="31"/>
  <c r="AA19" i="31"/>
  <c r="AA18" i="31" s="1"/>
  <c r="AA17" i="31" s="1"/>
  <c r="AH19" i="31"/>
  <c r="Z19" i="31"/>
  <c r="AM32" i="31"/>
  <c r="AH32" i="31"/>
  <c r="AE32" i="31"/>
  <c r="Z32" i="31"/>
  <c r="AE35" i="31"/>
  <c r="Z35" i="31"/>
  <c r="AA20" i="31"/>
  <c r="AH22" i="31"/>
  <c r="AH21" i="31"/>
  <c r="AH20" i="31"/>
  <c r="Z21" i="31"/>
  <c r="AA22" i="31"/>
  <c r="AB22" i="31"/>
  <c r="AC22" i="31"/>
  <c r="AD22" i="31"/>
  <c r="AE22" i="31"/>
  <c r="AF22" i="31"/>
  <c r="Z22" i="31"/>
  <c r="AI18" i="31"/>
  <c r="AI17" i="31" s="1"/>
  <c r="AI20" i="31"/>
  <c r="AA26" i="31"/>
  <c r="AA25" i="31" s="1"/>
  <c r="AI26" i="31"/>
  <c r="AI25" i="31" s="1"/>
  <c r="AI27" i="31"/>
  <c r="AA27" i="31"/>
  <c r="AB27" i="31"/>
  <c r="AC27" i="31"/>
  <c r="AD27" i="31"/>
  <c r="AE27" i="31"/>
  <c r="AF27" i="31"/>
  <c r="Z27" i="31"/>
  <c r="I52" i="39" l="1"/>
  <c r="I45" i="39"/>
  <c r="AA17" i="36"/>
  <c r="T22" i="39"/>
  <c r="T21" i="39" s="1"/>
  <c r="J45" i="39"/>
  <c r="J20" i="39" s="1"/>
  <c r="J19" i="39" s="1"/>
  <c r="I22" i="39"/>
  <c r="I21" i="39" s="1"/>
  <c r="I20" i="39" s="1"/>
  <c r="I19" i="39" s="1"/>
  <c r="S77" i="39"/>
  <c r="DE38" i="10"/>
  <c r="DE39" i="10"/>
  <c r="DE33" i="10" s="1"/>
  <c r="DE32" i="10" s="1"/>
  <c r="DE19" i="10" s="1"/>
  <c r="DE18" i="10" s="1"/>
  <c r="DE17" i="10" s="1"/>
  <c r="DE34" i="10"/>
  <c r="DH30" i="10"/>
  <c r="AC18" i="10"/>
  <c r="AC17" i="10" s="1"/>
  <c r="AH18" i="10"/>
  <c r="AH17" i="10" s="1"/>
  <c r="AH34" i="10"/>
  <c r="DJ34" i="10" s="1"/>
  <c r="AC34" i="10"/>
  <c r="DJ39" i="10"/>
  <c r="DJ38" i="10"/>
  <c r="DJ37" i="10"/>
  <c r="DE37" i="10"/>
  <c r="DK40" i="10"/>
  <c r="DK41" i="10"/>
  <c r="DK42" i="10"/>
  <c r="DK43" i="10"/>
  <c r="DE40" i="10"/>
  <c r="DE42" i="10"/>
  <c r="DE43" i="10"/>
  <c r="DE41" i="10"/>
  <c r="DK19" i="10"/>
  <c r="DF21" i="10"/>
  <c r="DF20" i="10"/>
  <c r="DF19" i="10" s="1"/>
  <c r="DF18" i="10" s="1"/>
  <c r="DF17" i="10" s="1"/>
  <c r="DE21" i="10"/>
  <c r="DE20" i="10" s="1"/>
  <c r="DF26" i="10"/>
  <c r="DF25" i="10"/>
  <c r="CX26" i="10"/>
  <c r="CX25" i="10" s="1"/>
  <c r="DF31" i="10"/>
  <c r="CX31" i="10"/>
  <c r="CX21" i="10"/>
  <c r="CX20" i="10"/>
  <c r="DF23" i="10"/>
  <c r="CX23" i="10"/>
  <c r="DF27" i="10"/>
  <c r="CX27" i="10"/>
  <c r="DH31" i="10"/>
  <c r="DH29" i="10"/>
  <c r="DH28" i="10"/>
  <c r="DE26" i="10"/>
  <c r="DE25" i="10"/>
  <c r="DE29" i="10"/>
  <c r="DE30" i="10"/>
  <c r="DE31" i="10"/>
  <c r="DE28" i="10"/>
  <c r="DE23" i="10"/>
  <c r="DE24" i="10"/>
  <c r="DE22" i="10"/>
  <c r="DK20" i="10"/>
  <c r="DJ20" i="10"/>
  <c r="DI20" i="10"/>
  <c r="DI19" i="10" s="1"/>
  <c r="DI18" i="10" s="1"/>
  <c r="DI17" i="10" s="1"/>
  <c r="DH20" i="10"/>
  <c r="DG20" i="10"/>
  <c r="DG19" i="10"/>
  <c r="DG17" i="10"/>
  <c r="DA19" i="10"/>
  <c r="DA20" i="10"/>
  <c r="DA26" i="10"/>
  <c r="DA25" i="10"/>
  <c r="CT19" i="10"/>
  <c r="CT18" i="10"/>
  <c r="CT17" i="10" s="1"/>
  <c r="CT33" i="10"/>
  <c r="CO33" i="10"/>
  <c r="CT32" i="10"/>
  <c r="CS32" i="10"/>
  <c r="CR32" i="10"/>
  <c r="CQ32" i="10"/>
  <c r="CP32" i="10"/>
  <c r="CO32" i="10"/>
  <c r="CO39" i="10"/>
  <c r="CO24" i="10"/>
  <c r="CO21" i="10"/>
  <c r="CO20" i="10" s="1"/>
  <c r="BY31" i="10"/>
  <c r="CB26" i="10"/>
  <c r="CB25" i="10" s="1"/>
  <c r="CB19" i="10" s="1"/>
  <c r="CB18" i="10" s="1"/>
  <c r="CB17" i="10" s="1"/>
  <c r="BZ26" i="10"/>
  <c r="BY26" i="10"/>
  <c r="CA25" i="10"/>
  <c r="BZ25" i="10"/>
  <c r="BZ19" i="10" s="1"/>
  <c r="BZ18" i="10" s="1"/>
  <c r="BZ17" i="10" s="1"/>
  <c r="BY25" i="10"/>
  <c r="BY23" i="10"/>
  <c r="BY21" i="10" s="1"/>
  <c r="BY20" i="10" s="1"/>
  <c r="CE21" i="10"/>
  <c r="CD21" i="10"/>
  <c r="CC21" i="10"/>
  <c r="CB21" i="10"/>
  <c r="CB20" i="10" s="1"/>
  <c r="CA21" i="10"/>
  <c r="BZ21" i="10"/>
  <c r="CE20" i="10"/>
  <c r="CE19" i="10" s="1"/>
  <c r="CD20" i="10"/>
  <c r="CC20" i="10"/>
  <c r="CA20" i="10"/>
  <c r="CA19" i="10" s="1"/>
  <c r="BZ20" i="10"/>
  <c r="CD19" i="10"/>
  <c r="CD18" i="10" s="1"/>
  <c r="CD17" i="10" s="1"/>
  <c r="CC19" i="10"/>
  <c r="CE18" i="10"/>
  <c r="CC18" i="10"/>
  <c r="CC17" i="10" s="1"/>
  <c r="CE17" i="10"/>
  <c r="CA17" i="10"/>
  <c r="CD33" i="10"/>
  <c r="CD32" i="10" s="1"/>
  <c r="BY33" i="10"/>
  <c r="BY32" i="10" s="1"/>
  <c r="CE32" i="10"/>
  <c r="CC32" i="10"/>
  <c r="CB32" i="10"/>
  <c r="CA32" i="10"/>
  <c r="BZ32" i="10"/>
  <c r="BY38" i="10"/>
  <c r="CE40" i="10"/>
  <c r="CD40" i="10"/>
  <c r="CC40" i="10"/>
  <c r="CB40" i="10"/>
  <c r="CA40" i="10"/>
  <c r="BZ40" i="10"/>
  <c r="BY40" i="10"/>
  <c r="BY43" i="10"/>
  <c r="BU19" i="10"/>
  <c r="BR19" i="10"/>
  <c r="BR18" i="10" s="1"/>
  <c r="BR17" i="10" s="1"/>
  <c r="BU25" i="10"/>
  <c r="BR26" i="10"/>
  <c r="BR25" i="10" s="1"/>
  <c r="BR21" i="10"/>
  <c r="BR20" i="10" s="1"/>
  <c r="BU21" i="10"/>
  <c r="BU20" i="10" s="1"/>
  <c r="BO18" i="10"/>
  <c r="BN18" i="10"/>
  <c r="BN19" i="10"/>
  <c r="BO40" i="10"/>
  <c r="BI40" i="10"/>
  <c r="BI42" i="10"/>
  <c r="BI41" i="10"/>
  <c r="BN33" i="10"/>
  <c r="BN32" i="10" s="1"/>
  <c r="BI33" i="10"/>
  <c r="BI32" i="10" s="1"/>
  <c r="BI37" i="10"/>
  <c r="BL18" i="10"/>
  <c r="BL19" i="10"/>
  <c r="BL17" i="10" s="1"/>
  <c r="BL26" i="10"/>
  <c r="BL25" i="10"/>
  <c r="BL29" i="10"/>
  <c r="BL28" i="10"/>
  <c r="BI21" i="10"/>
  <c r="BI20" i="10"/>
  <c r="BI26" i="10"/>
  <c r="BI25" i="10"/>
  <c r="BI29" i="10"/>
  <c r="BI30" i="10"/>
  <c r="BI28" i="10"/>
  <c r="BA30" i="10"/>
  <c r="AV26" i="10"/>
  <c r="AV25" i="10" s="1"/>
  <c r="AV19" i="10" s="1"/>
  <c r="AV18" i="10" s="1"/>
  <c r="AV17" i="10" s="1"/>
  <c r="AS19" i="10"/>
  <c r="AS18" i="10" s="1"/>
  <c r="AS22" i="10"/>
  <c r="AL19" i="10"/>
  <c r="AL18" i="10" s="1"/>
  <c r="AL17" i="10" s="1"/>
  <c r="AL21" i="10"/>
  <c r="AL20" i="10"/>
  <c r="AL26" i="10"/>
  <c r="AL25" i="10"/>
  <c r="AS26" i="10"/>
  <c r="AS25" i="10"/>
  <c r="AO25" i="10"/>
  <c r="AT27" i="10"/>
  <c r="AO19" i="10"/>
  <c r="AO17" i="10"/>
  <c r="AS27" i="10"/>
  <c r="AS35" i="10"/>
  <c r="E43" i="10"/>
  <c r="E42" i="10"/>
  <c r="E41" i="10"/>
  <c r="E39" i="10"/>
  <c r="E38" i="10"/>
  <c r="E37" i="10"/>
  <c r="E36" i="10"/>
  <c r="E35" i="10"/>
  <c r="E34" i="10"/>
  <c r="E31" i="10"/>
  <c r="E30" i="10"/>
  <c r="E29" i="10"/>
  <c r="E28" i="10"/>
  <c r="E26" i="10" s="1"/>
  <c r="E25" i="10" s="1"/>
  <c r="E27" i="10"/>
  <c r="E23" i="10"/>
  <c r="E24" i="10"/>
  <c r="E21" i="10" s="1"/>
  <c r="E20" i="10" s="1"/>
  <c r="E22" i="10"/>
  <c r="E40" i="10"/>
  <c r="E33" i="10"/>
  <c r="E32" i="10" s="1"/>
  <c r="D42" i="10"/>
  <c r="D37" i="10"/>
  <c r="D30" i="10"/>
  <c r="AN41" i="8"/>
  <c r="AN40" i="8"/>
  <c r="AN39" i="8"/>
  <c r="AN38" i="8" s="1"/>
  <c r="AN37" i="8"/>
  <c r="AN36" i="8"/>
  <c r="AN35" i="8"/>
  <c r="AN34" i="8"/>
  <c r="AN33" i="8"/>
  <c r="AN31" i="8" s="1"/>
  <c r="AN30" i="8" s="1"/>
  <c r="AN32" i="8"/>
  <c r="AN29" i="8"/>
  <c r="AN28" i="8"/>
  <c r="AN27" i="8"/>
  <c r="AN24" i="8" s="1"/>
  <c r="AN23" i="8" s="1"/>
  <c r="AN26" i="8"/>
  <c r="AN25" i="8"/>
  <c r="AN19" i="8"/>
  <c r="AN18" i="8" s="1"/>
  <c r="AN21" i="8"/>
  <c r="AN22" i="8"/>
  <c r="AN20" i="8"/>
  <c r="AM41" i="8"/>
  <c r="AM40" i="8"/>
  <c r="AM39" i="8"/>
  <c r="AM35" i="8"/>
  <c r="AM28" i="8"/>
  <c r="AM20" i="8"/>
  <c r="AL37" i="8"/>
  <c r="AL31" i="8" s="1"/>
  <c r="AL30" i="8" s="1"/>
  <c r="AK24" i="8"/>
  <c r="AK23" i="8" s="1"/>
  <c r="AL24" i="8"/>
  <c r="AL23" i="8" s="1"/>
  <c r="AL22" i="8"/>
  <c r="AJ21" i="8"/>
  <c r="AL19" i="8"/>
  <c r="AL18" i="8" s="1"/>
  <c r="AJ41" i="8"/>
  <c r="AJ38" i="8"/>
  <c r="AI38" i="8"/>
  <c r="AJ36" i="8"/>
  <c r="AJ31" i="8"/>
  <c r="AJ30" i="8" s="1"/>
  <c r="AJ24" i="8"/>
  <c r="AJ23" i="8"/>
  <c r="AJ29" i="8"/>
  <c r="AH28" i="8"/>
  <c r="AH35" i="8"/>
  <c r="AH31" i="8" s="1"/>
  <c r="AH30" i="8" s="1"/>
  <c r="AH27" i="8"/>
  <c r="AH26" i="8"/>
  <c r="AH24" i="8" s="1"/>
  <c r="AG16" i="8"/>
  <c r="AH38" i="8"/>
  <c r="AH40" i="8"/>
  <c r="AH39" i="8"/>
  <c r="AG39" i="8"/>
  <c r="AE19" i="8"/>
  <c r="AE18" i="8" s="1"/>
  <c r="AD17" i="8"/>
  <c r="AD16" i="8" s="1"/>
  <c r="AD15" i="8" s="1"/>
  <c r="AF17" i="8"/>
  <c r="AK19" i="8"/>
  <c r="AJ19" i="8"/>
  <c r="AI19" i="8"/>
  <c r="AF19" i="8"/>
  <c r="AD32" i="8"/>
  <c r="AF25" i="8"/>
  <c r="AF20" i="8"/>
  <c r="R20" i="8"/>
  <c r="R25" i="8"/>
  <c r="R24" i="8" s="1"/>
  <c r="R23" i="8" s="1"/>
  <c r="S24" i="8"/>
  <c r="S23" i="8"/>
  <c r="R28" i="8"/>
  <c r="R26" i="8"/>
  <c r="R27" i="8"/>
  <c r="S19" i="8"/>
  <c r="S18" i="8" s="1"/>
  <c r="R19" i="8"/>
  <c r="R18" i="8" s="1"/>
  <c r="R22" i="8"/>
  <c r="S22" i="8"/>
  <c r="S21" i="8"/>
  <c r="R21" i="8"/>
  <c r="S29" i="8"/>
  <c r="R29" i="8"/>
  <c r="S31" i="8"/>
  <c r="S30" i="8" s="1"/>
  <c r="R31" i="8"/>
  <c r="R30" i="8" s="1"/>
  <c r="S38" i="8"/>
  <c r="S40" i="8"/>
  <c r="S41" i="8"/>
  <c r="S39" i="8"/>
  <c r="R37" i="8"/>
  <c r="S37" i="8"/>
  <c r="S36" i="8"/>
  <c r="R36" i="8"/>
  <c r="S35" i="8"/>
  <c r="S32" i="8"/>
  <c r="R32" i="8"/>
  <c r="P19" i="8"/>
  <c r="P18" i="8" s="1"/>
  <c r="P17" i="8" s="1"/>
  <c r="P16" i="8" s="1"/>
  <c r="P15" i="8" s="1"/>
  <c r="P24" i="8"/>
  <c r="P23" i="8" s="1"/>
  <c r="P31" i="8"/>
  <c r="P30" i="8" s="1"/>
  <c r="P38" i="8"/>
  <c r="P41" i="8"/>
  <c r="P40" i="8"/>
  <c r="P39" i="8"/>
  <c r="P37" i="8"/>
  <c r="P36" i="8"/>
  <c r="P35" i="8"/>
  <c r="P32" i="8"/>
  <c r="P29" i="8"/>
  <c r="P28" i="8"/>
  <c r="P27" i="8"/>
  <c r="P26" i="8"/>
  <c r="P25" i="8"/>
  <c r="P21" i="8"/>
  <c r="P22" i="8"/>
  <c r="P20" i="8"/>
  <c r="I38" i="8"/>
  <c r="I31" i="8"/>
  <c r="I24" i="8"/>
  <c r="I19" i="8"/>
  <c r="I18" i="8" s="1"/>
  <c r="I41" i="8"/>
  <c r="I40" i="8"/>
  <c r="I39" i="8"/>
  <c r="I37" i="8"/>
  <c r="I36" i="8"/>
  <c r="I35" i="8"/>
  <c r="I32" i="8"/>
  <c r="I29" i="8"/>
  <c r="I28" i="8"/>
  <c r="I27" i="8"/>
  <c r="I26" i="8"/>
  <c r="I25" i="8"/>
  <c r="I20" i="8"/>
  <c r="I21" i="8"/>
  <c r="I22" i="8"/>
  <c r="H40" i="8"/>
  <c r="G35" i="8"/>
  <c r="G34" i="8"/>
  <c r="G33" i="8"/>
  <c r="H35" i="8"/>
  <c r="H20" i="8"/>
  <c r="H28" i="8"/>
  <c r="G27" i="8"/>
  <c r="G28" i="8"/>
  <c r="G26" i="8"/>
  <c r="G24" i="8"/>
  <c r="G25" i="8"/>
  <c r="E28" i="8"/>
  <c r="F28" i="8"/>
  <c r="D37" i="8"/>
  <c r="D36" i="8"/>
  <c r="D35" i="8"/>
  <c r="D34" i="8"/>
  <c r="D33" i="8"/>
  <c r="D32" i="8"/>
  <c r="D27" i="8"/>
  <c r="D28" i="8"/>
  <c r="D29" i="8"/>
  <c r="E35" i="8"/>
  <c r="F35" i="8"/>
  <c r="D26" i="8"/>
  <c r="D25" i="8"/>
  <c r="D40" i="8"/>
  <c r="E40" i="8"/>
  <c r="F40" i="8"/>
  <c r="G40" i="8"/>
  <c r="DJ33" i="10" l="1"/>
  <c r="DJ32" i="10" s="1"/>
  <c r="DJ19" i="10" s="1"/>
  <c r="DJ18" i="10" s="1"/>
  <c r="DJ17" i="10" s="1"/>
  <c r="CO19" i="10"/>
  <c r="CO18" i="10" s="1"/>
  <c r="CO17" i="10" s="1"/>
  <c r="BY19" i="10"/>
  <c r="BY18" i="10" s="1"/>
  <c r="BY17" i="10" s="1"/>
  <c r="BN17" i="10"/>
  <c r="BI19" i="10"/>
  <c r="AS17" i="10"/>
  <c r="E19" i="10"/>
  <c r="E18" i="10" s="1"/>
  <c r="E17" i="10" s="1"/>
  <c r="AN17" i="8"/>
  <c r="AN16" i="8" s="1"/>
  <c r="AN15" i="8" s="1"/>
  <c r="AL17" i="8"/>
  <c r="AL16" i="8" s="1"/>
  <c r="AL15" i="8" s="1"/>
  <c r="R17" i="8"/>
  <c r="R16" i="8" s="1"/>
  <c r="R15" i="8" s="1"/>
  <c r="S17" i="8"/>
  <c r="S16" i="8" s="1"/>
  <c r="S15" i="8" s="1"/>
  <c r="CF38" i="4"/>
  <c r="CE38" i="4"/>
  <c r="CD16" i="4"/>
  <c r="CD17" i="4"/>
  <c r="CC22" i="4"/>
  <c r="CD22" i="4"/>
  <c r="CE22" i="4"/>
  <c r="CF22" i="4"/>
  <c r="CD19" i="4"/>
  <c r="CD18" i="4" s="1"/>
  <c r="CC21" i="4"/>
  <c r="CD21" i="4"/>
  <c r="CE21" i="4"/>
  <c r="CF21" i="4"/>
  <c r="AR17" i="4"/>
  <c r="CC39" i="4"/>
  <c r="CD39" i="4"/>
  <c r="CE39" i="4"/>
  <c r="CF39" i="4"/>
  <c r="CC40" i="4"/>
  <c r="CD40" i="4"/>
  <c r="CE40" i="4"/>
  <c r="CF40" i="4"/>
  <c r="CC41" i="4"/>
  <c r="CD41" i="4"/>
  <c r="CE41" i="4"/>
  <c r="CF41" i="4"/>
  <c r="CE32" i="4"/>
  <c r="CF32" i="4"/>
  <c r="CF31" i="4" s="1"/>
  <c r="CF30" i="4" s="1"/>
  <c r="CC33" i="4"/>
  <c r="CE33" i="4"/>
  <c r="CF33" i="4"/>
  <c r="CC34" i="4"/>
  <c r="CE34" i="4"/>
  <c r="CF34" i="4"/>
  <c r="CC35" i="4"/>
  <c r="CE35" i="4"/>
  <c r="CF35" i="4"/>
  <c r="CC36" i="4"/>
  <c r="CE36" i="4"/>
  <c r="CF36" i="4"/>
  <c r="CC37" i="4"/>
  <c r="CE37" i="4"/>
  <c r="CF37" i="4"/>
  <c r="CC25" i="4"/>
  <c r="CD25" i="4"/>
  <c r="CE25" i="4"/>
  <c r="CF25" i="4"/>
  <c r="CF23" i="4" s="1"/>
  <c r="CC26" i="4"/>
  <c r="CD26" i="4"/>
  <c r="CE26" i="4"/>
  <c r="CF26" i="4"/>
  <c r="CC27" i="4"/>
  <c r="CD27" i="4"/>
  <c r="CE27" i="4"/>
  <c r="CF27" i="4"/>
  <c r="CC28" i="4"/>
  <c r="CD28" i="4"/>
  <c r="CE28" i="4"/>
  <c r="CF28" i="4"/>
  <c r="CC29" i="4"/>
  <c r="CD29" i="4"/>
  <c r="CE29" i="4"/>
  <c r="CF29" i="4"/>
  <c r="CF20" i="4"/>
  <c r="CE20" i="4"/>
  <c r="CE19" i="4" s="1"/>
  <c r="CE18" i="4" s="1"/>
  <c r="CD20" i="4"/>
  <c r="CB34" i="4"/>
  <c r="CB33" i="4"/>
  <c r="CE31" i="4"/>
  <c r="CE30" i="4" s="1"/>
  <c r="CE24" i="4"/>
  <c r="CE23" i="4" s="1"/>
  <c r="CD23" i="4"/>
  <c r="BZ32" i="4"/>
  <c r="BV22" i="4"/>
  <c r="BV19" i="4" s="1"/>
  <c r="BV18" i="4" s="1"/>
  <c r="BU22" i="4"/>
  <c r="CD30" i="4" l="1"/>
  <c r="CF19" i="4"/>
  <c r="CF18" i="4" s="1"/>
  <c r="CF17" i="4" s="1"/>
  <c r="BV17" i="4"/>
  <c r="BV16" i="4" s="1"/>
  <c r="BV15" i="4" s="1"/>
  <c r="CE17" i="4"/>
  <c r="BU19" i="4"/>
  <c r="BU18" i="4" s="1"/>
  <c r="BS18" i="4"/>
  <c r="BS17" i="4" s="1"/>
  <c r="BS16" i="4" s="1"/>
  <c r="BS15" i="4" s="1"/>
  <c r="BL17" i="4"/>
  <c r="BJ38" i="4"/>
  <c r="BK41" i="4"/>
  <c r="BK38" i="4"/>
  <c r="BJ30" i="4"/>
  <c r="BJ23" i="4"/>
  <c r="BL18" i="4"/>
  <c r="BB39" i="4" l="1"/>
  <c r="BB38" i="4" s="1"/>
  <c r="BB16" i="4" s="1"/>
  <c r="BA18" i="4"/>
  <c r="AZ18" i="4"/>
  <c r="AX18" i="4"/>
  <c r="BB18" i="4"/>
  <c r="AR23" i="4"/>
  <c r="AO16" i="4"/>
  <c r="AO15" i="4" s="1"/>
  <c r="AP16" i="4"/>
  <c r="AP15" i="4" s="1"/>
  <c r="AN38" i="4"/>
  <c r="AO38" i="4"/>
  <c r="AP38" i="4"/>
  <c r="AQ38" i="4"/>
  <c r="AR38" i="4"/>
  <c r="AR20" i="4"/>
  <c r="AR19" i="4" s="1"/>
  <c r="AR18" i="4" s="1"/>
  <c r="AI18" i="4"/>
  <c r="AJ18" i="4"/>
  <c r="AK18" i="4"/>
  <c r="AL18" i="4"/>
  <c r="AM18" i="4"/>
  <c r="AP18" i="4"/>
  <c r="AO18" i="4"/>
  <c r="AP23" i="4"/>
  <c r="AO23" i="4"/>
  <c r="AQ30" i="4"/>
  <c r="AR30" i="4"/>
  <c r="AP30" i="4"/>
  <c r="AO30" i="4"/>
  <c r="AN30" i="4"/>
  <c r="AF15" i="4"/>
  <c r="AE15" i="4"/>
  <c r="AF30" i="4"/>
  <c r="AE30" i="4"/>
  <c r="AG32" i="4"/>
  <c r="AG31" i="4" s="1"/>
  <c r="AG30" i="4" s="1"/>
  <c r="AG17" i="4" s="1"/>
  <c r="AG16" i="4" s="1"/>
  <c r="AG15" i="4" s="1"/>
  <c r="U34" i="4"/>
  <c r="U33" i="4"/>
  <c r="L34" i="4"/>
  <c r="K25" i="4"/>
  <c r="L25" i="4" s="1"/>
  <c r="Q35" i="4"/>
  <c r="Q40" i="4"/>
  <c r="Q28" i="4"/>
  <c r="T28" i="4" s="1"/>
  <c r="Q20" i="4"/>
  <c r="L33" i="4"/>
  <c r="K32" i="4"/>
  <c r="L32" i="4" s="1"/>
  <c r="R32" i="4" s="1"/>
  <c r="K22" i="4"/>
  <c r="L22" i="4" s="1"/>
  <c r="R22" i="4" s="1"/>
  <c r="K21" i="4"/>
  <c r="L21" i="4" s="1"/>
  <c r="K29" i="4"/>
  <c r="L29" i="4" s="1"/>
  <c r="R29" i="4" s="1"/>
  <c r="K41" i="4"/>
  <c r="L41" i="4" s="1"/>
  <c r="R41" i="4" s="1"/>
  <c r="K37" i="4"/>
  <c r="L37" i="4" s="1"/>
  <c r="R37" i="4" s="1"/>
  <c r="K36" i="4"/>
  <c r="L36" i="4" s="1"/>
  <c r="R36" i="4" s="1"/>
  <c r="K40" i="4"/>
  <c r="R40" i="4" s="1"/>
  <c r="S40" i="4" s="1"/>
  <c r="U40" i="4" s="1"/>
  <c r="AX40" i="4" s="1"/>
  <c r="K39" i="4"/>
  <c r="L39" i="4" s="1"/>
  <c r="K35" i="4"/>
  <c r="L35" i="4" s="1"/>
  <c r="K28" i="4"/>
  <c r="R28" i="4" s="1"/>
  <c r="S28" i="4" s="1"/>
  <c r="U28" i="4" s="1"/>
  <c r="AX28" i="4" s="1"/>
  <c r="K27" i="4"/>
  <c r="L27" i="4" s="1"/>
  <c r="K26" i="4"/>
  <c r="L26" i="4" s="1"/>
  <c r="K20" i="4"/>
  <c r="I20" i="4"/>
  <c r="I28" i="4"/>
  <c r="I35" i="4"/>
  <c r="K19" i="4" l="1"/>
  <c r="K18" i="4" s="1"/>
  <c r="AR16" i="4"/>
  <c r="AR15" i="4" s="1"/>
  <c r="BA28" i="4"/>
  <c r="CB28" i="4"/>
  <c r="R35" i="4"/>
  <c r="S35" i="4" s="1"/>
  <c r="BA40" i="4"/>
  <c r="CB40" i="4"/>
  <c r="L24" i="4"/>
  <c r="L23" i="4" s="1"/>
  <c r="R31" i="4"/>
  <c r="R30" i="4" s="1"/>
  <c r="T35" i="4"/>
  <c r="U35" i="4"/>
  <c r="AX35" i="4" s="1"/>
  <c r="CB35" i="4" s="1"/>
  <c r="L40" i="4"/>
  <c r="L38" i="4" s="1"/>
  <c r="K24" i="4"/>
  <c r="K23" i="4" s="1"/>
  <c r="L28" i="4"/>
  <c r="K38" i="4"/>
  <c r="L20" i="4"/>
  <c r="L19" i="4" s="1"/>
  <c r="L18" i="4" s="1"/>
  <c r="S25" i="4"/>
  <c r="U25" i="4" s="1"/>
  <c r="AN25" i="4" s="1"/>
  <c r="CB25" i="4" s="1"/>
  <c r="L31" i="4"/>
  <c r="L30" i="4" s="1"/>
  <c r="K31" i="4"/>
  <c r="K30" i="4" s="1"/>
  <c r="I40" i="4"/>
  <c r="BZ40" i="4"/>
  <c r="Q19" i="28"/>
  <c r="Q18" i="28"/>
  <c r="Q17" i="28"/>
  <c r="Q29" i="28"/>
  <c r="Q28" i="28" s="1"/>
  <c r="O24" i="28"/>
  <c r="N24" i="28"/>
  <c r="C20" i="1"/>
  <c r="T32" i="28"/>
  <c r="T18" i="28" s="1"/>
  <c r="U32" i="28"/>
  <c r="U18" i="28" s="1"/>
  <c r="U17" i="28" s="1"/>
  <c r="Q27" i="2"/>
  <c r="Q26" i="2" s="1"/>
  <c r="Q19" i="2" s="1"/>
  <c r="Q18" i="2" s="1"/>
  <c r="Q17" i="2" s="1"/>
  <c r="L21" i="2"/>
  <c r="L20" i="2" s="1"/>
  <c r="L19" i="2" s="1"/>
  <c r="L18" i="2" s="1"/>
  <c r="L17" i="2" s="1"/>
  <c r="M21" i="2"/>
  <c r="M20" i="2" s="1"/>
  <c r="M19" i="2" s="1"/>
  <c r="L17" i="4" l="1"/>
  <c r="L16" i="4" s="1"/>
  <c r="L15" i="4" s="1"/>
  <c r="AN24" i="4"/>
  <c r="AN23" i="4" s="1"/>
  <c r="AQ25" i="4"/>
  <c r="AQ24" i="4" s="1"/>
  <c r="AQ23" i="4" s="1"/>
  <c r="AX31" i="4"/>
  <c r="AX30" i="4" s="1"/>
  <c r="BA35" i="4"/>
  <c r="BA31" i="4" s="1"/>
  <c r="BA30" i="4" s="1"/>
  <c r="K17" i="4"/>
  <c r="K16" i="4" s="1"/>
  <c r="K15" i="4" s="1"/>
  <c r="P21" i="30"/>
  <c r="P20" i="30" s="1"/>
  <c r="R21" i="30"/>
  <c r="R20" i="30" s="1"/>
  <c r="R19" i="30" s="1"/>
  <c r="S21" i="30"/>
  <c r="S20" i="30" s="1"/>
  <c r="S19" i="30" s="1"/>
  <c r="P24" i="30"/>
  <c r="P23" i="30" s="1"/>
  <c r="P19" i="30" s="1"/>
  <c r="P18" i="30" s="1"/>
  <c r="S24" i="29"/>
  <c r="S23" i="29" s="1"/>
  <c r="P24" i="29"/>
  <c r="P23" i="29" s="1"/>
  <c r="R24" i="29"/>
  <c r="R23" i="29" s="1"/>
  <c r="P27" i="29"/>
  <c r="P26" i="29"/>
  <c r="P19" i="29" s="1"/>
  <c r="P18" i="29" s="1"/>
  <c r="P17" i="29" s="1"/>
  <c r="D21" i="29"/>
  <c r="D20" i="29" s="1"/>
  <c r="D19" i="29" s="1"/>
  <c r="J21" i="29"/>
  <c r="J20" i="29" s="1"/>
  <c r="D24" i="29"/>
  <c r="D23" i="29" s="1"/>
  <c r="J24" i="29"/>
  <c r="J23" i="29" s="1"/>
  <c r="P24" i="28"/>
  <c r="P23" i="28" s="1"/>
  <c r="Q24" i="28"/>
  <c r="Q23" i="28" s="1"/>
  <c r="R24" i="28"/>
  <c r="R23" i="28" s="1"/>
  <c r="S24" i="28"/>
  <c r="S23" i="28" s="1"/>
  <c r="P29" i="28"/>
  <c r="P28" i="28" s="1"/>
  <c r="P19" i="28" s="1"/>
  <c r="P18" i="28" s="1"/>
  <c r="P17" i="28" s="1"/>
  <c r="P27" i="2"/>
  <c r="P26" i="2" s="1"/>
  <c r="P19" i="2" s="1"/>
  <c r="P18" i="2" s="1"/>
  <c r="P17" i="2" s="1"/>
  <c r="P26" i="1"/>
  <c r="P25" i="1" s="1"/>
  <c r="P19" i="1" s="1"/>
  <c r="P18" i="1" s="1"/>
  <c r="P17" i="1" s="1"/>
  <c r="T40" i="4" l="1"/>
  <c r="AS40" i="4" s="1"/>
  <c r="CA40" i="4" s="1"/>
  <c r="J19" i="29"/>
  <c r="P17" i="30"/>
  <c r="M14" i="20"/>
  <c r="M15" i="20"/>
  <c r="Z21" i="20"/>
  <c r="Z16" i="20"/>
  <c r="Y16" i="20"/>
  <c r="O20" i="20"/>
  <c r="P20" i="20"/>
  <c r="H20" i="20"/>
  <c r="G20" i="20"/>
  <c r="E20" i="20"/>
  <c r="C20" i="20"/>
  <c r="C27" i="20"/>
  <c r="D14" i="19"/>
  <c r="D13" i="19" s="1"/>
  <c r="E14" i="19"/>
  <c r="E13" i="19" s="1"/>
  <c r="F14" i="19"/>
  <c r="F13" i="19" s="1"/>
  <c r="G14" i="19"/>
  <c r="G13" i="19" s="1"/>
  <c r="H14" i="19"/>
  <c r="H13" i="19" s="1"/>
  <c r="I14" i="19"/>
  <c r="I13" i="19" s="1"/>
  <c r="J14" i="19"/>
  <c r="J13" i="19" s="1"/>
  <c r="K14" i="19"/>
  <c r="K13" i="19" s="1"/>
  <c r="C14" i="19"/>
  <c r="C13" i="19" s="1"/>
  <c r="D19" i="19"/>
  <c r="E19" i="19"/>
  <c r="F19" i="19"/>
  <c r="G19" i="19"/>
  <c r="H19" i="19"/>
  <c r="I19" i="19"/>
  <c r="J19" i="19"/>
  <c r="K19" i="19"/>
  <c r="C19" i="19"/>
  <c r="D26" i="19"/>
  <c r="E26" i="19"/>
  <c r="F26" i="19"/>
  <c r="G26" i="19"/>
  <c r="H26" i="19"/>
  <c r="I26" i="19"/>
  <c r="J26" i="19"/>
  <c r="K26" i="19"/>
  <c r="C26" i="19"/>
  <c r="E15" i="18"/>
  <c r="F15" i="18"/>
  <c r="G15" i="18"/>
  <c r="H15" i="18"/>
  <c r="I15" i="18"/>
  <c r="J15" i="18"/>
  <c r="K15" i="18"/>
  <c r="L15" i="18"/>
  <c r="M15" i="18"/>
  <c r="N15" i="18"/>
  <c r="O15" i="18"/>
  <c r="D15" i="18"/>
  <c r="C15" i="18"/>
  <c r="C20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D27" i="18"/>
  <c r="E27" i="18"/>
  <c r="F27" i="18"/>
  <c r="G27" i="18"/>
  <c r="H27" i="18"/>
  <c r="I27" i="18"/>
  <c r="J27" i="18"/>
  <c r="K27" i="18"/>
  <c r="L27" i="18"/>
  <c r="M27" i="18"/>
  <c r="C27" i="18"/>
  <c r="M12" i="17" l="1"/>
  <c r="E20" i="16"/>
  <c r="E19" i="16" s="1"/>
  <c r="F20" i="16"/>
  <c r="F19" i="16" s="1"/>
  <c r="G20" i="16"/>
  <c r="G19" i="16" s="1"/>
  <c r="H20" i="16"/>
  <c r="H19" i="16" s="1"/>
  <c r="I20" i="16"/>
  <c r="I19" i="16" s="1"/>
  <c r="J20" i="16"/>
  <c r="J19" i="16" s="1"/>
  <c r="K20" i="16"/>
  <c r="K19" i="16" s="1"/>
  <c r="C20" i="16"/>
  <c r="C19" i="16" s="1"/>
  <c r="C25" i="16"/>
  <c r="DL25" i="15"/>
  <c r="DL24" i="15" s="1"/>
  <c r="DL26" i="15"/>
  <c r="DL27" i="15"/>
  <c r="DL28" i="15"/>
  <c r="DL30" i="15"/>
  <c r="DL22" i="15"/>
  <c r="DL16" i="15"/>
  <c r="AQ17" i="15"/>
  <c r="DD22" i="15"/>
  <c r="DE22" i="15"/>
  <c r="DF22" i="15"/>
  <c r="DG22" i="15"/>
  <c r="DH22" i="15"/>
  <c r="DI22" i="15"/>
  <c r="DJ22" i="15"/>
  <c r="DK22" i="15"/>
  <c r="E19" i="15"/>
  <c r="F19" i="15"/>
  <c r="G19" i="15"/>
  <c r="H19" i="15"/>
  <c r="D19" i="15"/>
  <c r="C19" i="15"/>
  <c r="DB26" i="15"/>
  <c r="DC26" i="15"/>
  <c r="DD26" i="15"/>
  <c r="DE26" i="15"/>
  <c r="DF26" i="15"/>
  <c r="DG26" i="15"/>
  <c r="DH26" i="15"/>
  <c r="DI26" i="15"/>
  <c r="DJ26" i="15"/>
  <c r="DK26" i="15"/>
  <c r="DB27" i="15"/>
  <c r="DC27" i="15"/>
  <c r="DD27" i="15"/>
  <c r="DE27" i="15"/>
  <c r="DF27" i="15"/>
  <c r="DG27" i="15"/>
  <c r="DH27" i="15"/>
  <c r="DI27" i="15"/>
  <c r="DJ27" i="15"/>
  <c r="DK27" i="15"/>
  <c r="DB28" i="15"/>
  <c r="DC28" i="15"/>
  <c r="DD28" i="15"/>
  <c r="DE28" i="15"/>
  <c r="DF28" i="15"/>
  <c r="DG28" i="15"/>
  <c r="DH28" i="15"/>
  <c r="DI28" i="15"/>
  <c r="DJ28" i="15"/>
  <c r="DK28" i="15"/>
  <c r="DC30" i="15"/>
  <c r="DD30" i="15"/>
  <c r="DE30" i="15"/>
  <c r="DF30" i="15"/>
  <c r="DG30" i="15"/>
  <c r="DH30" i="15"/>
  <c r="DI30" i="15"/>
  <c r="DJ30" i="15"/>
  <c r="DK30" i="15"/>
  <c r="BH24" i="15"/>
  <c r="BI24" i="15"/>
  <c r="BK24" i="15"/>
  <c r="BM24" i="15"/>
  <c r="BN24" i="15"/>
  <c r="BO24" i="15"/>
  <c r="BQ24" i="15"/>
  <c r="BD24" i="15"/>
  <c r="BE24" i="15"/>
  <c r="BF24" i="15"/>
  <c r="BG24" i="15"/>
  <c r="BC24" i="15"/>
  <c r="G24" i="15"/>
  <c r="H24" i="15"/>
  <c r="J24" i="15"/>
  <c r="K24" i="15"/>
  <c r="M24" i="15"/>
  <c r="O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K24" i="15"/>
  <c r="AM24" i="15"/>
  <c r="AN24" i="15"/>
  <c r="AP24" i="15"/>
  <c r="AQ24" i="15"/>
  <c r="AU24" i="15"/>
  <c r="AV24" i="15"/>
  <c r="AW24" i="15"/>
  <c r="AX24" i="15"/>
  <c r="AY24" i="15"/>
  <c r="AZ24" i="15"/>
  <c r="BA24" i="15"/>
  <c r="D24" i="15"/>
  <c r="E24" i="15"/>
  <c r="C24" i="15"/>
  <c r="C31" i="15"/>
  <c r="AV21" i="14"/>
  <c r="AW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Z21" i="14"/>
  <c r="AA21" i="14"/>
  <c r="AB21" i="14"/>
  <c r="AC21" i="14"/>
  <c r="AD21" i="14"/>
  <c r="AE21" i="14"/>
  <c r="C20" i="14"/>
  <c r="C19" i="14" s="1"/>
  <c r="AF27" i="14"/>
  <c r="AE27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D25" i="14"/>
  <c r="C25" i="14"/>
  <c r="Y32" i="14"/>
  <c r="Z32" i="14"/>
  <c r="AA32" i="14"/>
  <c r="AB32" i="14"/>
  <c r="AC32" i="14"/>
  <c r="AD32" i="14"/>
  <c r="AE32" i="14"/>
  <c r="R32" i="14"/>
  <c r="S32" i="14"/>
  <c r="T32" i="14"/>
  <c r="U32" i="14"/>
  <c r="V32" i="14"/>
  <c r="L32" i="14"/>
  <c r="M32" i="14"/>
  <c r="N32" i="14"/>
  <c r="O32" i="14"/>
  <c r="Q32" i="14"/>
  <c r="J32" i="14"/>
  <c r="E32" i="14"/>
  <c r="F32" i="14"/>
  <c r="G32" i="14"/>
  <c r="H32" i="14"/>
  <c r="D32" i="14"/>
  <c r="D19" i="14" s="1"/>
  <c r="C17" i="37"/>
  <c r="E20" i="37" l="1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T20" i="37"/>
  <c r="U20" i="37"/>
  <c r="V20" i="37"/>
  <c r="W20" i="37"/>
  <c r="X20" i="37"/>
  <c r="Y20" i="37"/>
  <c r="D20" i="37"/>
  <c r="C20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D25" i="37"/>
  <c r="C25" i="37"/>
  <c r="D32" i="37"/>
  <c r="C32" i="37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C17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Y20" i="36"/>
  <c r="D20" i="36"/>
  <c r="C20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C25" i="36"/>
  <c r="AI33" i="36"/>
  <c r="AJ33" i="36"/>
  <c r="AK33" i="36"/>
  <c r="AL33" i="36"/>
  <c r="AN33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D32" i="36"/>
  <c r="C32" i="36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Y17" i="35"/>
  <c r="C17" i="35"/>
  <c r="AL18" i="35"/>
  <c r="AD18" i="35"/>
  <c r="AN25" i="35"/>
  <c r="AN27" i="35"/>
  <c r="AN28" i="35"/>
  <c r="AM28" i="35"/>
  <c r="AL28" i="35"/>
  <c r="AM27" i="35"/>
  <c r="AL27" i="35"/>
  <c r="AM25" i="35"/>
  <c r="AL25" i="35"/>
  <c r="AJ25" i="35"/>
  <c r="AJ27" i="35"/>
  <c r="AJ28" i="35"/>
  <c r="AI28" i="35"/>
  <c r="AI27" i="35"/>
  <c r="AI25" i="35"/>
  <c r="Z20" i="35"/>
  <c r="AA20" i="35"/>
  <c r="AB20" i="35"/>
  <c r="AC20" i="35"/>
  <c r="AD20" i="35"/>
  <c r="AE20" i="35"/>
  <c r="AF20" i="35"/>
  <c r="AG20" i="35"/>
  <c r="AH20" i="35"/>
  <c r="AI20" i="35"/>
  <c r="AJ20" i="35"/>
  <c r="AK20" i="35"/>
  <c r="AL20" i="35"/>
  <c r="AM20" i="35"/>
  <c r="AN20" i="35"/>
  <c r="AG25" i="35"/>
  <c r="AG27" i="35"/>
  <c r="AG28" i="35"/>
  <c r="AB27" i="35"/>
  <c r="E20" i="35"/>
  <c r="F20" i="35"/>
  <c r="G20" i="35"/>
  <c r="H20" i="35"/>
  <c r="I20" i="35"/>
  <c r="J20" i="35"/>
  <c r="K20" i="35"/>
  <c r="L20" i="35"/>
  <c r="M20" i="35"/>
  <c r="N20" i="35"/>
  <c r="O20" i="35"/>
  <c r="P20" i="35"/>
  <c r="Q20" i="35"/>
  <c r="R20" i="35"/>
  <c r="S20" i="35"/>
  <c r="T20" i="35"/>
  <c r="U20" i="35"/>
  <c r="V20" i="35"/>
  <c r="W20" i="35"/>
  <c r="X20" i="35"/>
  <c r="Y20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R25" i="35"/>
  <c r="S25" i="35"/>
  <c r="T25" i="35"/>
  <c r="U25" i="35"/>
  <c r="V25" i="35"/>
  <c r="W25" i="35"/>
  <c r="X25" i="35"/>
  <c r="Y25" i="35"/>
  <c r="D25" i="35"/>
  <c r="D20" i="35"/>
  <c r="C20" i="35"/>
  <c r="C25" i="35"/>
  <c r="AJ41" i="35"/>
  <c r="AJ40" i="35" s="1"/>
  <c r="AK41" i="35"/>
  <c r="AK40" i="35" s="1"/>
  <c r="AL41" i="35"/>
  <c r="AL40" i="35" s="1"/>
  <c r="AM41" i="35"/>
  <c r="AM40" i="35" s="1"/>
  <c r="AI41" i="35"/>
  <c r="AI40" i="35" s="1"/>
  <c r="AG41" i="35"/>
  <c r="AG40" i="35" s="1"/>
  <c r="AB41" i="35"/>
  <c r="AB40" i="35" s="1"/>
  <c r="AC41" i="35"/>
  <c r="AC40" i="35" s="1"/>
  <c r="AD41" i="35"/>
  <c r="AD40" i="35" s="1"/>
  <c r="AE41" i="35"/>
  <c r="AE40" i="35" s="1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T32" i="35"/>
  <c r="U32" i="35"/>
  <c r="V32" i="35"/>
  <c r="W32" i="35"/>
  <c r="X32" i="35"/>
  <c r="Y32" i="35"/>
  <c r="D32" i="35"/>
  <c r="C32" i="35"/>
  <c r="C17" i="31"/>
  <c r="AB18" i="31"/>
  <c r="AF18" i="31"/>
  <c r="AG18" i="31"/>
  <c r="AJ18" i="31"/>
  <c r="AN18" i="31"/>
  <c r="AJ20" i="31"/>
  <c r="AK20" i="31"/>
  <c r="AL20" i="31"/>
  <c r="AM20" i="31"/>
  <c r="AN20" i="31"/>
  <c r="E20" i="31"/>
  <c r="F20" i="31"/>
  <c r="G20" i="31"/>
  <c r="H20" i="31"/>
  <c r="I20" i="31"/>
  <c r="J20" i="31"/>
  <c r="K20" i="31"/>
  <c r="L20" i="31"/>
  <c r="M20" i="31"/>
  <c r="N20" i="31"/>
  <c r="O20" i="31"/>
  <c r="P20" i="31"/>
  <c r="Q20" i="31"/>
  <c r="R20" i="31"/>
  <c r="S20" i="31"/>
  <c r="T20" i="31"/>
  <c r="U20" i="31"/>
  <c r="V20" i="31"/>
  <c r="W20" i="31"/>
  <c r="X20" i="31"/>
  <c r="Y20" i="31"/>
  <c r="Z20" i="31"/>
  <c r="AB20" i="31"/>
  <c r="AC20" i="31"/>
  <c r="AD20" i="31"/>
  <c r="AE20" i="31"/>
  <c r="AF20" i="31"/>
  <c r="AG20" i="31"/>
  <c r="D20" i="31"/>
  <c r="C20" i="31"/>
  <c r="AG27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D25" i="31"/>
  <c r="C25" i="31"/>
  <c r="Y21" i="10"/>
  <c r="DD21" i="10"/>
  <c r="DG21" i="10"/>
  <c r="DH21" i="10"/>
  <c r="DI21" i="10"/>
  <c r="DJ21" i="10"/>
  <c r="DK21" i="10"/>
  <c r="DL21" i="10"/>
  <c r="DA23" i="10"/>
  <c r="CF21" i="10"/>
  <c r="CF20" i="10" s="1"/>
  <c r="CF19" i="10" s="1"/>
  <c r="BW21" i="10"/>
  <c r="BX21" i="10"/>
  <c r="BV21" i="10"/>
  <c r="BS21" i="10"/>
  <c r="BT21" i="10"/>
  <c r="BP21" i="10"/>
  <c r="BP20" i="10" s="1"/>
  <c r="BP19" i="10" s="1"/>
  <c r="AZ21" i="10"/>
  <c r="AZ20" i="10" s="1"/>
  <c r="AZ19" i="10" s="1"/>
  <c r="BA21" i="10"/>
  <c r="BA20" i="10" s="1"/>
  <c r="BB21" i="10"/>
  <c r="BB20" i="10" s="1"/>
  <c r="BB19" i="10" s="1"/>
  <c r="BC21" i="10"/>
  <c r="BC20" i="10" s="1"/>
  <c r="BC19" i="10" s="1"/>
  <c r="BD21" i="10"/>
  <c r="BD20" i="10" s="1"/>
  <c r="BE21" i="10"/>
  <c r="BE20" i="10" s="1"/>
  <c r="BE19" i="10" s="1"/>
  <c r="BF21" i="10"/>
  <c r="BF20" i="10" s="1"/>
  <c r="BG21" i="10"/>
  <c r="BG20" i="10" s="1"/>
  <c r="BG19" i="10" s="1"/>
  <c r="BH21" i="10"/>
  <c r="BH20" i="10" s="1"/>
  <c r="BH19" i="10" s="1"/>
  <c r="BJ21" i="10"/>
  <c r="BJ20" i="10" s="1"/>
  <c r="BJ19" i="10" s="1"/>
  <c r="BK21" i="10"/>
  <c r="BK20" i="10" s="1"/>
  <c r="BK19" i="10" s="1"/>
  <c r="BL21" i="10"/>
  <c r="BL20" i="10" s="1"/>
  <c r="BM21" i="10"/>
  <c r="BM20" i="10" s="1"/>
  <c r="BM19" i="10" s="1"/>
  <c r="BN21" i="10"/>
  <c r="BN20" i="10" s="1"/>
  <c r="BO21" i="10"/>
  <c r="BO20" i="10" s="1"/>
  <c r="AK21" i="10"/>
  <c r="AK20" i="10" s="1"/>
  <c r="AM21" i="10"/>
  <c r="AM20" i="10" s="1"/>
  <c r="AM19" i="10" s="1"/>
  <c r="AN21" i="10"/>
  <c r="AN20" i="10" s="1"/>
  <c r="AO21" i="10"/>
  <c r="AO20" i="10" s="1"/>
  <c r="AP21" i="10"/>
  <c r="AP20" i="10" s="1"/>
  <c r="AQ21" i="10"/>
  <c r="AQ20" i="10" s="1"/>
  <c r="AQ19" i="10" s="1"/>
  <c r="AR21" i="10"/>
  <c r="AR20" i="10" s="1"/>
  <c r="AR19" i="10" s="1"/>
  <c r="AS21" i="10"/>
  <c r="AS20" i="10" s="1"/>
  <c r="AT21" i="10"/>
  <c r="AT20" i="10" s="1"/>
  <c r="AU21" i="10"/>
  <c r="AU20" i="10" s="1"/>
  <c r="AU19" i="10" s="1"/>
  <c r="AV21" i="10"/>
  <c r="AV20" i="10" s="1"/>
  <c r="AW21" i="10"/>
  <c r="AW20" i="10" s="1"/>
  <c r="AW19" i="10" s="1"/>
  <c r="AX21" i="10"/>
  <c r="AX20" i="10" s="1"/>
  <c r="AX19" i="10" s="1"/>
  <c r="AY21" i="10"/>
  <c r="AY20" i="10" s="1"/>
  <c r="AY19" i="10" s="1"/>
  <c r="AJ21" i="10"/>
  <c r="AJ20" i="10" s="1"/>
  <c r="AA21" i="10"/>
  <c r="AA20" i="10" s="1"/>
  <c r="AB21" i="10"/>
  <c r="AB20" i="10" s="1"/>
  <c r="AC21" i="10"/>
  <c r="AC20" i="10" s="1"/>
  <c r="AD21" i="10"/>
  <c r="AD20" i="10" s="1"/>
  <c r="AE21" i="10"/>
  <c r="AE20" i="10" s="1"/>
  <c r="AF21" i="10"/>
  <c r="AF20" i="10" s="1"/>
  <c r="AG21" i="10"/>
  <c r="AG20" i="10" s="1"/>
  <c r="AH21" i="10"/>
  <c r="AH20" i="10" s="1"/>
  <c r="AI21" i="10"/>
  <c r="AI20" i="10" s="1"/>
  <c r="Z21" i="10"/>
  <c r="U21" i="10"/>
  <c r="V21" i="10"/>
  <c r="W21" i="10"/>
  <c r="X21" i="10"/>
  <c r="T21" i="10"/>
  <c r="DD27" i="10"/>
  <c r="DD26" i="10" s="1"/>
  <c r="DE27" i="10"/>
  <c r="L21" i="20" s="1"/>
  <c r="M21" i="20"/>
  <c r="M20" i="20" s="1"/>
  <c r="DG27" i="10"/>
  <c r="DG26" i="10" s="1"/>
  <c r="DH27" i="10"/>
  <c r="DH26" i="10" s="1"/>
  <c r="DH25" i="10" s="1"/>
  <c r="DH19" i="10" s="1"/>
  <c r="DH18" i="10" s="1"/>
  <c r="DH17" i="10" s="1"/>
  <c r="DI27" i="10"/>
  <c r="DI26" i="10" s="1"/>
  <c r="DJ27" i="10"/>
  <c r="DJ26" i="10" s="1"/>
  <c r="DK27" i="10"/>
  <c r="DK26" i="10" s="1"/>
  <c r="DL27" i="10"/>
  <c r="DL26" i="10" s="1"/>
  <c r="DC27" i="10"/>
  <c r="DC26" i="10" s="1"/>
  <c r="DB27" i="10"/>
  <c r="DB26" i="10" s="1"/>
  <c r="DA31" i="10"/>
  <c r="CZ31" i="10"/>
  <c r="CZ29" i="10"/>
  <c r="CZ28" i="10"/>
  <c r="DA27" i="10"/>
  <c r="CZ27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BJ31" i="10"/>
  <c r="BK31" i="10"/>
  <c r="BL31" i="10"/>
  <c r="BM31" i="10"/>
  <c r="BN31" i="10"/>
  <c r="BO31" i="10"/>
  <c r="BM25" i="10"/>
  <c r="BN25" i="10"/>
  <c r="BO25" i="10"/>
  <c r="BG25" i="10"/>
  <c r="BH25" i="10"/>
  <c r="BJ25" i="10"/>
  <c r="BK25" i="10"/>
  <c r="BF25" i="10"/>
  <c r="BE25" i="10"/>
  <c r="AR25" i="10"/>
  <c r="AU25" i="10"/>
  <c r="AW25" i="10"/>
  <c r="AX25" i="10"/>
  <c r="AY25" i="10"/>
  <c r="AJ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C25" i="10"/>
  <c r="DH32" i="10"/>
  <c r="DI32" i="10"/>
  <c r="DK32" i="10"/>
  <c r="DL32" i="10"/>
  <c r="DB39" i="10"/>
  <c r="DB38" i="10"/>
  <c r="DB36" i="10"/>
  <c r="CF32" i="10"/>
  <c r="AZ32" i="10"/>
  <c r="AR32" i="10"/>
  <c r="AS32" i="10"/>
  <c r="AT32" i="10"/>
  <c r="AU32" i="10"/>
  <c r="AV32" i="10"/>
  <c r="AW32" i="10"/>
  <c r="AX32" i="10"/>
  <c r="AY32" i="10"/>
  <c r="AM33" i="10"/>
  <c r="AM32" i="10" s="1"/>
  <c r="AN33" i="10"/>
  <c r="AN32" i="10" s="1"/>
  <c r="AO33" i="10"/>
  <c r="AO32" i="10" s="1"/>
  <c r="AL33" i="10"/>
  <c r="AL32" i="10" s="1"/>
  <c r="AJ33" i="10"/>
  <c r="AJ32" i="10" s="1"/>
  <c r="AJ19" i="10" s="1"/>
  <c r="C32" i="10"/>
  <c r="AE33" i="10"/>
  <c r="AE32" i="10" s="1"/>
  <c r="AE19" i="10" s="1"/>
  <c r="AF33" i="10"/>
  <c r="AF32" i="10" s="1"/>
  <c r="AF19" i="10" s="1"/>
  <c r="AG33" i="10"/>
  <c r="AG32" i="10" s="1"/>
  <c r="AG19" i="10" s="1"/>
  <c r="AH33" i="10"/>
  <c r="AH32" i="10" s="1"/>
  <c r="AH19" i="10" s="1"/>
  <c r="AI33" i="10"/>
  <c r="AI32" i="10" s="1"/>
  <c r="AI19" i="10" s="1"/>
  <c r="AD33" i="10"/>
  <c r="AD32" i="10" s="1"/>
  <c r="AD19" i="10" s="1"/>
  <c r="AC33" i="10"/>
  <c r="AC32" i="10" s="1"/>
  <c r="AC19" i="10" s="1"/>
  <c r="AB33" i="10"/>
  <c r="AB32" i="10" s="1"/>
  <c r="AB19" i="10" s="1"/>
  <c r="AA33" i="10"/>
  <c r="AA32" i="10" s="1"/>
  <c r="AA19" i="10" s="1"/>
  <c r="W33" i="10"/>
  <c r="W32" i="10" s="1"/>
  <c r="W19" i="10" s="1"/>
  <c r="X33" i="10"/>
  <c r="X32" i="10" s="1"/>
  <c r="X19" i="10" s="1"/>
  <c r="Y33" i="10"/>
  <c r="Y32" i="10" s="1"/>
  <c r="Y19" i="10" s="1"/>
  <c r="V33" i="10"/>
  <c r="V32" i="10" s="1"/>
  <c r="V19" i="10" s="1"/>
  <c r="F33" i="10"/>
  <c r="F32" i="10" s="1"/>
  <c r="G33" i="10"/>
  <c r="G32" i="10" s="1"/>
  <c r="H33" i="10"/>
  <c r="H32" i="10" s="1"/>
  <c r="I33" i="10"/>
  <c r="I32" i="10" s="1"/>
  <c r="J33" i="10"/>
  <c r="J32" i="10" s="1"/>
  <c r="K33" i="10"/>
  <c r="K32" i="10" s="1"/>
  <c r="L33" i="10"/>
  <c r="L32" i="10" s="1"/>
  <c r="M33" i="10"/>
  <c r="M32" i="10" s="1"/>
  <c r="N33" i="10"/>
  <c r="N32" i="10" s="1"/>
  <c r="O33" i="10"/>
  <c r="O32" i="10" s="1"/>
  <c r="P33" i="10"/>
  <c r="P32" i="10" s="1"/>
  <c r="Q33" i="10"/>
  <c r="Q32" i="10" s="1"/>
  <c r="R33" i="10"/>
  <c r="R32" i="10" s="1"/>
  <c r="S33" i="10"/>
  <c r="S32" i="10" s="1"/>
  <c r="T33" i="10"/>
  <c r="T32" i="10" s="1"/>
  <c r="DI40" i="10"/>
  <c r="DJ40" i="10"/>
  <c r="DK18" i="10"/>
  <c r="DK17" i="10" s="1"/>
  <c r="DL40" i="10"/>
  <c r="DH40" i="10"/>
  <c r="DG40" i="10"/>
  <c r="DF40" i="10"/>
  <c r="DD40" i="10"/>
  <c r="CY40" i="10"/>
  <c r="CZ40" i="10"/>
  <c r="DA40" i="10"/>
  <c r="DB40" i="10"/>
  <c r="CX40" i="10"/>
  <c r="DC43" i="10"/>
  <c r="DC41" i="10"/>
  <c r="CG40" i="10"/>
  <c r="CH40" i="10"/>
  <c r="CI40" i="10"/>
  <c r="CJ40" i="10"/>
  <c r="CK40" i="10"/>
  <c r="CL40" i="10"/>
  <c r="CM40" i="10"/>
  <c r="CN40" i="10"/>
  <c r="CO40" i="10"/>
  <c r="CP40" i="10"/>
  <c r="CQ40" i="10"/>
  <c r="CR40" i="10"/>
  <c r="CS40" i="10"/>
  <c r="CT40" i="10"/>
  <c r="CU40" i="10"/>
  <c r="CV40" i="10"/>
  <c r="CF40" i="10"/>
  <c r="BX40" i="10"/>
  <c r="BS40" i="10"/>
  <c r="BT40" i="10"/>
  <c r="BU40" i="10"/>
  <c r="BV40" i="10"/>
  <c r="BR40" i="10"/>
  <c r="BI18" i="10"/>
  <c r="BI17" i="10" s="1"/>
  <c r="BJ40" i="10"/>
  <c r="BK40" i="10"/>
  <c r="BL40" i="10"/>
  <c r="BM40" i="10"/>
  <c r="BN40" i="10"/>
  <c r="BO17" i="10"/>
  <c r="BP40" i="10"/>
  <c r="BH40" i="10"/>
  <c r="BC40" i="10"/>
  <c r="BD40" i="10"/>
  <c r="BE40" i="10"/>
  <c r="BF40" i="10"/>
  <c r="BB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V40" i="10"/>
  <c r="AW40" i="10"/>
  <c r="AX40" i="10"/>
  <c r="AY40" i="10"/>
  <c r="AZ40" i="10"/>
  <c r="T40" i="10"/>
  <c r="CZ26" i="10" l="1"/>
  <c r="AO16" i="8"/>
  <c r="AO15" i="8" s="1"/>
  <c r="AM21" i="8"/>
  <c r="AM22" i="8"/>
  <c r="AJ18" i="8"/>
  <c r="AJ17" i="8" s="1"/>
  <c r="AJ16" i="8" s="1"/>
  <c r="AC19" i="8"/>
  <c r="AC18" i="8" s="1"/>
  <c r="AD19" i="8"/>
  <c r="AD18" i="8" s="1"/>
  <c r="AF18" i="8"/>
  <c r="AF16" i="8" s="1"/>
  <c r="AG19" i="8"/>
  <c r="AG18" i="8" s="1"/>
  <c r="AH19" i="8"/>
  <c r="AH18" i="8" s="1"/>
  <c r="U19" i="8"/>
  <c r="U18" i="8" s="1"/>
  <c r="U17" i="8" s="1"/>
  <c r="U16" i="8" s="1"/>
  <c r="V19" i="8"/>
  <c r="V18" i="8" s="1"/>
  <c r="V17" i="8" s="1"/>
  <c r="V16" i="8" s="1"/>
  <c r="W19" i="8"/>
  <c r="W18" i="8" s="1"/>
  <c r="W17" i="8" s="1"/>
  <c r="W16" i="8" s="1"/>
  <c r="X19" i="8"/>
  <c r="X18" i="8" s="1"/>
  <c r="X17" i="8" s="1"/>
  <c r="X16" i="8" s="1"/>
  <c r="Y19" i="8"/>
  <c r="Y18" i="8" s="1"/>
  <c r="Y17" i="8" s="1"/>
  <c r="Y16" i="8" s="1"/>
  <c r="Z19" i="8"/>
  <c r="Z18" i="8" s="1"/>
  <c r="Z17" i="8" s="1"/>
  <c r="Z16" i="8" s="1"/>
  <c r="AA19" i="8"/>
  <c r="AA18" i="8" s="1"/>
  <c r="AA17" i="8" s="1"/>
  <c r="AA16" i="8" s="1"/>
  <c r="AB19" i="8"/>
  <c r="AB18" i="8" s="1"/>
  <c r="AB17" i="8" s="1"/>
  <c r="AB16" i="8" s="1"/>
  <c r="Q19" i="8"/>
  <c r="Q18" i="8" s="1"/>
  <c r="Q17" i="8" s="1"/>
  <c r="Q16" i="8" s="1"/>
  <c r="T19" i="8"/>
  <c r="T18" i="8" s="1"/>
  <c r="T17" i="8" s="1"/>
  <c r="T16" i="8" s="1"/>
  <c r="O19" i="8"/>
  <c r="O18" i="8" s="1"/>
  <c r="O17" i="8" s="1"/>
  <c r="L19" i="8" l="1"/>
  <c r="L18" i="8" s="1"/>
  <c r="L17" i="8" s="1"/>
  <c r="L16" i="8" s="1"/>
  <c r="J19" i="8"/>
  <c r="J18" i="8" s="1"/>
  <c r="J17" i="8" s="1"/>
  <c r="J16" i="8" s="1"/>
  <c r="J15" i="8" s="1"/>
  <c r="AH23" i="8"/>
  <c r="AH17" i="8" s="1"/>
  <c r="AH16" i="8" s="1"/>
  <c r="AF24" i="8"/>
  <c r="AF23" i="8" s="1"/>
  <c r="V24" i="8"/>
  <c r="V23" i="8" s="1"/>
  <c r="W24" i="8"/>
  <c r="W23" i="8" s="1"/>
  <c r="X24" i="8"/>
  <c r="X23" i="8" s="1"/>
  <c r="Y24" i="8"/>
  <c r="Y23" i="8" s="1"/>
  <c r="Z24" i="8"/>
  <c r="Z23" i="8" s="1"/>
  <c r="AA24" i="8"/>
  <c r="AA23" i="8" s="1"/>
  <c r="AB24" i="8"/>
  <c r="AB23" i="8" s="1"/>
  <c r="AC24" i="8"/>
  <c r="AC23" i="8" s="1"/>
  <c r="AD24" i="8"/>
  <c r="AD23" i="8" s="1"/>
  <c r="Q24" i="8"/>
  <c r="Q23" i="8" s="1"/>
  <c r="T24" i="8"/>
  <c r="T23" i="8" s="1"/>
  <c r="U24" i="8"/>
  <c r="U23" i="8" s="1"/>
  <c r="O24" i="8"/>
  <c r="O23" i="8" s="1"/>
  <c r="L24" i="8"/>
  <c r="L23" i="8" s="1"/>
  <c r="J24" i="8"/>
  <c r="J23" i="8" s="1"/>
  <c r="I23" i="8"/>
  <c r="G23" i="8"/>
  <c r="AF31" i="8"/>
  <c r="AF30" i="8" s="1"/>
  <c r="AD31" i="8"/>
  <c r="AD30" i="8" s="1"/>
  <c r="V31" i="8"/>
  <c r="V30" i="8" s="1"/>
  <c r="W31" i="8"/>
  <c r="W30" i="8" s="1"/>
  <c r="X31" i="8"/>
  <c r="X30" i="8" s="1"/>
  <c r="Y31" i="8"/>
  <c r="Y30" i="8" s="1"/>
  <c r="Z31" i="8"/>
  <c r="Z30" i="8" s="1"/>
  <c r="AA31" i="8"/>
  <c r="AA30" i="8" s="1"/>
  <c r="AB31" i="8"/>
  <c r="AB30" i="8" s="1"/>
  <c r="Q31" i="8"/>
  <c r="Q30" i="8" s="1"/>
  <c r="T31" i="8"/>
  <c r="T30" i="8" s="1"/>
  <c r="U31" i="8"/>
  <c r="U30" i="8" s="1"/>
  <c r="O31" i="8"/>
  <c r="O30" i="8" s="1"/>
  <c r="L31" i="8"/>
  <c r="L30" i="8" s="1"/>
  <c r="J31" i="8"/>
  <c r="J30" i="8" s="1"/>
  <c r="I30" i="8"/>
  <c r="AK38" i="8"/>
  <c r="AL38" i="8"/>
  <c r="AF38" i="8"/>
  <c r="T38" i="8"/>
  <c r="U38" i="8"/>
  <c r="V38" i="8"/>
  <c r="W38" i="8"/>
  <c r="X38" i="8"/>
  <c r="Y38" i="8"/>
  <c r="Z38" i="8"/>
  <c r="AA38" i="8"/>
  <c r="AB38" i="8"/>
  <c r="AC38" i="8"/>
  <c r="AD38" i="8"/>
  <c r="AE38" i="8"/>
  <c r="Q38" i="8"/>
  <c r="O38" i="8"/>
  <c r="M38" i="8"/>
  <c r="L38" i="8"/>
  <c r="J38" i="8"/>
  <c r="F38" i="8"/>
  <c r="G38" i="8"/>
  <c r="I17" i="8" l="1"/>
  <c r="I16" i="8" s="1"/>
  <c r="I15" i="8" s="1"/>
  <c r="X15" i="4"/>
  <c r="AJ15" i="4"/>
  <c r="AZ15" i="4"/>
  <c r="BD15" i="4"/>
  <c r="J15" i="4"/>
  <c r="M15" i="4"/>
  <c r="N15" i="4"/>
  <c r="O15" i="4"/>
  <c r="V15" i="4"/>
  <c r="W15" i="4"/>
  <c r="Z15" i="4"/>
  <c r="AA15" i="4"/>
  <c r="AT15" i="4"/>
  <c r="AU15" i="4"/>
  <c r="AY15" i="4"/>
  <c r="BI15" i="4"/>
  <c r="BX15" i="4"/>
  <c r="CC15" i="4"/>
  <c r="CG15" i="4"/>
  <c r="D15" i="4"/>
  <c r="E15" i="4"/>
  <c r="F15" i="4"/>
  <c r="G15" i="4"/>
  <c r="C15" i="4"/>
  <c r="CG18" i="4"/>
  <c r="CG17" i="4" s="1"/>
  <c r="CC18" i="4"/>
  <c r="CC17" i="4" s="1"/>
  <c r="BZ22" i="4"/>
  <c r="CA22" i="4"/>
  <c r="BX19" i="4"/>
  <c r="BN18" i="4"/>
  <c r="BN17" i="4" s="1"/>
  <c r="BN16" i="4" s="1"/>
  <c r="BN15" i="4" s="1"/>
  <c r="BK18" i="4"/>
  <c r="BI18" i="4"/>
  <c r="BI17" i="4" s="1"/>
  <c r="BG18" i="4"/>
  <c r="BG17" i="4" s="1"/>
  <c r="BF18" i="4"/>
  <c r="BD18" i="4"/>
  <c r="BD17" i="4" s="1"/>
  <c r="AY18" i="4"/>
  <c r="AY17" i="4" s="1"/>
  <c r="AZ17" i="4"/>
  <c r="AW18" i="4"/>
  <c r="AW17" i="4" s="1"/>
  <c r="AV18" i="4"/>
  <c r="AU18" i="4"/>
  <c r="AU17" i="4" s="1"/>
  <c r="AT18" i="4"/>
  <c r="AT17" i="4" s="1"/>
  <c r="AS18" i="4"/>
  <c r="AJ17" i="4"/>
  <c r="AD18" i="4"/>
  <c r="AE18" i="4"/>
  <c r="AE17" i="4" s="1"/>
  <c r="AF18" i="4"/>
  <c r="AF17" i="4" s="1"/>
  <c r="AG18" i="4"/>
  <c r="AH18" i="4"/>
  <c r="AC18" i="4"/>
  <c r="AB18" i="4"/>
  <c r="AA18" i="4"/>
  <c r="AA17" i="4" s="1"/>
  <c r="Z18" i="4"/>
  <c r="Z17" i="4" s="1"/>
  <c r="Y18" i="4"/>
  <c r="X18" i="4"/>
  <c r="X17" i="4" s="1"/>
  <c r="W18" i="4"/>
  <c r="W17" i="4" s="1"/>
  <c r="V18" i="4"/>
  <c r="V17" i="4" s="1"/>
  <c r="R21" i="4"/>
  <c r="M18" i="4"/>
  <c r="M17" i="4" s="1"/>
  <c r="N18" i="4"/>
  <c r="N17" i="4" s="1"/>
  <c r="O18" i="4"/>
  <c r="O17" i="4" s="1"/>
  <c r="J18" i="4"/>
  <c r="J17" i="4" s="1"/>
  <c r="D18" i="4"/>
  <c r="D17" i="4" s="1"/>
  <c r="E18" i="4"/>
  <c r="E17" i="4" s="1"/>
  <c r="F18" i="4"/>
  <c r="F17" i="4" s="1"/>
  <c r="G18" i="4"/>
  <c r="G17" i="4" s="1"/>
  <c r="C18" i="4"/>
  <c r="C17" i="4" s="1"/>
  <c r="CG23" i="4"/>
  <c r="CC23" i="4"/>
  <c r="BX26" i="4"/>
  <c r="BX27" i="4"/>
  <c r="BX29" i="4"/>
  <c r="BT23" i="4"/>
  <c r="BU23" i="4"/>
  <c r="BV23" i="4"/>
  <c r="BS23" i="4"/>
  <c r="BR23" i="4"/>
  <c r="BQ23" i="4"/>
  <c r="BP23" i="4"/>
  <c r="BO23" i="4"/>
  <c r="BN23" i="4"/>
  <c r="BL23" i="4"/>
  <c r="BI23" i="4"/>
  <c r="BG23" i="4"/>
  <c r="BE23" i="4"/>
  <c r="AY23" i="4"/>
  <c r="AZ23" i="4"/>
  <c r="BB23" i="4"/>
  <c r="AW23" i="4"/>
  <c r="AJ23" i="4"/>
  <c r="AD23" i="4"/>
  <c r="AE23" i="4"/>
  <c r="AF23" i="4"/>
  <c r="AG23" i="4"/>
  <c r="AH23" i="4"/>
  <c r="AC23" i="4"/>
  <c r="AB23" i="4"/>
  <c r="AA23" i="4"/>
  <c r="Z23" i="4"/>
  <c r="Y23" i="4"/>
  <c r="X23" i="4"/>
  <c r="W23" i="4"/>
  <c r="V23" i="4"/>
  <c r="R27" i="4"/>
  <c r="S27" i="4" s="1"/>
  <c r="U27" i="4" s="1"/>
  <c r="AX27" i="4" s="1"/>
  <c r="M23" i="4"/>
  <c r="N23" i="4"/>
  <c r="O23" i="4"/>
  <c r="J23" i="4"/>
  <c r="D23" i="4"/>
  <c r="E23" i="4"/>
  <c r="F23" i="4"/>
  <c r="G23" i="4"/>
  <c r="C23" i="4"/>
  <c r="CG30" i="4"/>
  <c r="CC30" i="4"/>
  <c r="BY31" i="4"/>
  <c r="BY30" i="4" s="1"/>
  <c r="BX31" i="4"/>
  <c r="BX30" i="4" s="1"/>
  <c r="BV30" i="4"/>
  <c r="BT30" i="4"/>
  <c r="BS30" i="4"/>
  <c r="BQ30" i="4"/>
  <c r="BO30" i="4"/>
  <c r="BN30" i="4"/>
  <c r="BL30" i="4"/>
  <c r="BI30" i="4"/>
  <c r="BG30" i="4"/>
  <c r="BE30" i="4"/>
  <c r="BD30" i="4"/>
  <c r="BB30" i="4"/>
  <c r="AZ30" i="4"/>
  <c r="AY30" i="4"/>
  <c r="AW30" i="4"/>
  <c r="AU30" i="4"/>
  <c r="AT30" i="4"/>
  <c r="AM30" i="4"/>
  <c r="AK30" i="4"/>
  <c r="AJ30" i="4"/>
  <c r="AA30" i="4"/>
  <c r="Z30" i="4"/>
  <c r="W30" i="4"/>
  <c r="X30" i="4"/>
  <c r="V30" i="4"/>
  <c r="M30" i="4"/>
  <c r="N30" i="4"/>
  <c r="O30" i="4"/>
  <c r="J30" i="4"/>
  <c r="D30" i="4"/>
  <c r="E30" i="4"/>
  <c r="F30" i="4"/>
  <c r="G30" i="4"/>
  <c r="C30" i="4"/>
  <c r="CC38" i="4"/>
  <c r="CD38" i="4"/>
  <c r="CD15" i="4" s="1"/>
  <c r="CE16" i="4"/>
  <c r="CE15" i="4" s="1"/>
  <c r="CF16" i="4"/>
  <c r="CF15" i="4" s="1"/>
  <c r="CG38" i="4"/>
  <c r="BY38" i="4"/>
  <c r="BZ41" i="4"/>
  <c r="BZ39" i="4"/>
  <c r="BX38" i="4"/>
  <c r="BO38" i="4"/>
  <c r="BP38" i="4"/>
  <c r="BQ38" i="4"/>
  <c r="BR38" i="4"/>
  <c r="BS38" i="4"/>
  <c r="BT38" i="4"/>
  <c r="BU38" i="4"/>
  <c r="BV38" i="4"/>
  <c r="BN38" i="4"/>
  <c r="BM38" i="4"/>
  <c r="BE38" i="4"/>
  <c r="BF38" i="4"/>
  <c r="BI38" i="4"/>
  <c r="BD38" i="4"/>
  <c r="AU38" i="4"/>
  <c r="AV38" i="4"/>
  <c r="AY38" i="4"/>
  <c r="AZ38" i="4"/>
  <c r="BB15" i="4"/>
  <c r="AT38" i="4"/>
  <c r="AK38" i="4"/>
  <c r="AL38" i="4"/>
  <c r="AM38" i="4"/>
  <c r="AI38" i="4"/>
  <c r="AJ38" i="4"/>
  <c r="AA38" i="4"/>
  <c r="AB38" i="4"/>
  <c r="AC38" i="4"/>
  <c r="AD38" i="4"/>
  <c r="AE38" i="4"/>
  <c r="AF38" i="4"/>
  <c r="AG38" i="4"/>
  <c r="AH38" i="4"/>
  <c r="V38" i="4"/>
  <c r="W38" i="4"/>
  <c r="X38" i="4"/>
  <c r="N38" i="4"/>
  <c r="O38" i="4"/>
  <c r="H38" i="4"/>
  <c r="C18" i="30"/>
  <c r="E21" i="30"/>
  <c r="E20" i="30" s="1"/>
  <c r="E19" i="30" s="1"/>
  <c r="E18" i="30" s="1"/>
  <c r="F21" i="30"/>
  <c r="F20" i="30" s="1"/>
  <c r="F19" i="30" s="1"/>
  <c r="F18" i="30" s="1"/>
  <c r="G21" i="30"/>
  <c r="G20" i="30" s="1"/>
  <c r="G19" i="30" s="1"/>
  <c r="G18" i="30" s="1"/>
  <c r="H21" i="30"/>
  <c r="H20" i="30" s="1"/>
  <c r="H19" i="30" s="1"/>
  <c r="H18" i="30" s="1"/>
  <c r="I21" i="30"/>
  <c r="I20" i="30" s="1"/>
  <c r="I19" i="30" s="1"/>
  <c r="I18" i="30" s="1"/>
  <c r="J21" i="30"/>
  <c r="J20" i="30" s="1"/>
  <c r="J19" i="30" s="1"/>
  <c r="J18" i="30" s="1"/>
  <c r="K21" i="30"/>
  <c r="K20" i="30" s="1"/>
  <c r="K19" i="30" s="1"/>
  <c r="K18" i="30" s="1"/>
  <c r="L21" i="30"/>
  <c r="L20" i="30" s="1"/>
  <c r="L19" i="30" s="1"/>
  <c r="L18" i="30" s="1"/>
  <c r="M21" i="30"/>
  <c r="M20" i="30" s="1"/>
  <c r="M19" i="30" s="1"/>
  <c r="M18" i="30" s="1"/>
  <c r="N21" i="30"/>
  <c r="N20" i="30" s="1"/>
  <c r="N19" i="30" s="1"/>
  <c r="N18" i="30" s="1"/>
  <c r="O21" i="30"/>
  <c r="O20" i="30" s="1"/>
  <c r="O19" i="30" s="1"/>
  <c r="O18" i="30" s="1"/>
  <c r="T21" i="30"/>
  <c r="T20" i="30" s="1"/>
  <c r="T19" i="30" s="1"/>
  <c r="T18" i="30" s="1"/>
  <c r="U21" i="30"/>
  <c r="U20" i="30" s="1"/>
  <c r="U19" i="30" s="1"/>
  <c r="U18" i="30" s="1"/>
  <c r="W21" i="30"/>
  <c r="W20" i="30" s="1"/>
  <c r="W19" i="30" s="1"/>
  <c r="W18" i="30" s="1"/>
  <c r="D21" i="30"/>
  <c r="D24" i="30"/>
  <c r="D23" i="30" s="1"/>
  <c r="E24" i="30"/>
  <c r="E23" i="30" s="1"/>
  <c r="F24" i="30"/>
  <c r="F23" i="30" s="1"/>
  <c r="G24" i="30"/>
  <c r="G23" i="30" s="1"/>
  <c r="H24" i="30"/>
  <c r="H23" i="30" s="1"/>
  <c r="I24" i="30"/>
  <c r="I23" i="30" s="1"/>
  <c r="J24" i="30"/>
  <c r="J23" i="30" s="1"/>
  <c r="K24" i="30"/>
  <c r="K23" i="30" s="1"/>
  <c r="L24" i="30"/>
  <c r="L23" i="30" s="1"/>
  <c r="M24" i="30"/>
  <c r="M23" i="30" s="1"/>
  <c r="N24" i="30"/>
  <c r="N23" i="30" s="1"/>
  <c r="O24" i="30"/>
  <c r="O23" i="30" s="1"/>
  <c r="T24" i="30"/>
  <c r="T23" i="30" s="1"/>
  <c r="U24" i="30"/>
  <c r="U23" i="30" s="1"/>
  <c r="V24" i="30"/>
  <c r="V23" i="30" s="1"/>
  <c r="W24" i="30"/>
  <c r="W23" i="30" s="1"/>
  <c r="E21" i="29"/>
  <c r="E20" i="29" s="1"/>
  <c r="E19" i="29" s="1"/>
  <c r="E18" i="29" s="1"/>
  <c r="F21" i="29"/>
  <c r="F20" i="29" s="1"/>
  <c r="F19" i="29" s="1"/>
  <c r="F18" i="29" s="1"/>
  <c r="G21" i="29"/>
  <c r="G20" i="29" s="1"/>
  <c r="G19" i="29" s="1"/>
  <c r="G18" i="29" s="1"/>
  <c r="H21" i="29"/>
  <c r="H20" i="29" s="1"/>
  <c r="H19" i="29" s="1"/>
  <c r="H18" i="29" s="1"/>
  <c r="I21" i="29"/>
  <c r="I20" i="29" s="1"/>
  <c r="I19" i="29" s="1"/>
  <c r="I18" i="29" s="1"/>
  <c r="J18" i="29"/>
  <c r="K21" i="29"/>
  <c r="K20" i="29" s="1"/>
  <c r="K18" i="29" s="1"/>
  <c r="L21" i="29"/>
  <c r="L20" i="29" s="1"/>
  <c r="L19" i="29" s="1"/>
  <c r="L18" i="29" s="1"/>
  <c r="M21" i="29"/>
  <c r="M20" i="29" s="1"/>
  <c r="M19" i="29" s="1"/>
  <c r="M18" i="29" s="1"/>
  <c r="N21" i="29"/>
  <c r="N20" i="29" s="1"/>
  <c r="O21" i="29"/>
  <c r="O20" i="29" s="1"/>
  <c r="T21" i="29"/>
  <c r="T20" i="29" s="1"/>
  <c r="T19" i="29" s="1"/>
  <c r="T18" i="29" s="1"/>
  <c r="U21" i="29"/>
  <c r="U20" i="29" s="1"/>
  <c r="U19" i="29" s="1"/>
  <c r="U18" i="29" s="1"/>
  <c r="V21" i="29"/>
  <c r="V20" i="29" s="1"/>
  <c r="V19" i="29" s="1"/>
  <c r="V18" i="29" s="1"/>
  <c r="W21" i="29"/>
  <c r="W20" i="29" s="1"/>
  <c r="W19" i="29" s="1"/>
  <c r="W18" i="29" s="1"/>
  <c r="E24" i="29"/>
  <c r="E23" i="29" s="1"/>
  <c r="F24" i="29"/>
  <c r="F23" i="29" s="1"/>
  <c r="G24" i="29"/>
  <c r="G23" i="29" s="1"/>
  <c r="H24" i="29"/>
  <c r="H23" i="29" s="1"/>
  <c r="I24" i="29"/>
  <c r="I23" i="29" s="1"/>
  <c r="K24" i="29"/>
  <c r="K23" i="29" s="1"/>
  <c r="L24" i="29"/>
  <c r="L23" i="29" s="1"/>
  <c r="M24" i="29"/>
  <c r="M23" i="29" s="1"/>
  <c r="N24" i="29"/>
  <c r="N23" i="29" s="1"/>
  <c r="O24" i="29"/>
  <c r="O23" i="29" s="1"/>
  <c r="T24" i="29"/>
  <c r="T23" i="29" s="1"/>
  <c r="U24" i="29"/>
  <c r="U23" i="29" s="1"/>
  <c r="V24" i="29"/>
  <c r="V23" i="29" s="1"/>
  <c r="W24" i="29"/>
  <c r="W23" i="29" s="1"/>
  <c r="C26" i="29"/>
  <c r="D27" i="29"/>
  <c r="D26" i="29" s="1"/>
  <c r="E27" i="29"/>
  <c r="E26" i="29" s="1"/>
  <c r="F27" i="29"/>
  <c r="F26" i="29" s="1"/>
  <c r="G27" i="29"/>
  <c r="G26" i="29" s="1"/>
  <c r="H27" i="29"/>
  <c r="H26" i="29" s="1"/>
  <c r="I27" i="29"/>
  <c r="I26" i="29" s="1"/>
  <c r="J27" i="29"/>
  <c r="J26" i="29" s="1"/>
  <c r="K27" i="29"/>
  <c r="K26" i="29" s="1"/>
  <c r="L27" i="29"/>
  <c r="L26" i="29" s="1"/>
  <c r="M27" i="29"/>
  <c r="M26" i="29" s="1"/>
  <c r="N27" i="29"/>
  <c r="N26" i="29" s="1"/>
  <c r="O27" i="29"/>
  <c r="O26" i="29" s="1"/>
  <c r="T27" i="29"/>
  <c r="T26" i="29" s="1"/>
  <c r="U27" i="29"/>
  <c r="U26" i="29" s="1"/>
  <c r="V27" i="29"/>
  <c r="V26" i="29" s="1"/>
  <c r="W27" i="29"/>
  <c r="W26" i="29" s="1"/>
  <c r="E29" i="29"/>
  <c r="F29" i="29"/>
  <c r="G29" i="29"/>
  <c r="H29" i="29"/>
  <c r="I29" i="29"/>
  <c r="J29" i="29"/>
  <c r="K29" i="29"/>
  <c r="L29" i="29"/>
  <c r="M29" i="29"/>
  <c r="N29" i="29"/>
  <c r="O29" i="29"/>
  <c r="T29" i="29"/>
  <c r="U29" i="29"/>
  <c r="V29" i="29"/>
  <c r="W29" i="29"/>
  <c r="D29" i="29"/>
  <c r="C18" i="28"/>
  <c r="T24" i="28"/>
  <c r="T23" i="28" s="1"/>
  <c r="T19" i="28" s="1"/>
  <c r="U24" i="28"/>
  <c r="U23" i="28" s="1"/>
  <c r="U19" i="28" s="1"/>
  <c r="V24" i="28"/>
  <c r="V23" i="28" s="1"/>
  <c r="V19" i="28" s="1"/>
  <c r="V18" i="28" s="1"/>
  <c r="W24" i="28"/>
  <c r="W23" i="28" s="1"/>
  <c r="W19" i="28" s="1"/>
  <c r="W18" i="28" s="1"/>
  <c r="O23" i="28"/>
  <c r="O19" i="28" s="1"/>
  <c r="O18" i="28" s="1"/>
  <c r="J24" i="28"/>
  <c r="K24" i="28"/>
  <c r="L24" i="28"/>
  <c r="M24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T29" i="28"/>
  <c r="U29" i="28"/>
  <c r="V29" i="28"/>
  <c r="W29" i="28"/>
  <c r="E32" i="28"/>
  <c r="F32" i="28"/>
  <c r="G32" i="28"/>
  <c r="H32" i="28"/>
  <c r="I32" i="28"/>
  <c r="J32" i="28"/>
  <c r="K32" i="28"/>
  <c r="L32" i="28"/>
  <c r="M32" i="28"/>
  <c r="N32" i="28"/>
  <c r="O32" i="28"/>
  <c r="V32" i="28"/>
  <c r="W32" i="28"/>
  <c r="D32" i="28"/>
  <c r="C18" i="2"/>
  <c r="E27" i="2"/>
  <c r="E26" i="2" s="1"/>
  <c r="F27" i="2"/>
  <c r="F26" i="2" s="1"/>
  <c r="G27" i="2"/>
  <c r="G26" i="2" s="1"/>
  <c r="H27" i="2"/>
  <c r="H26" i="2" s="1"/>
  <c r="I27" i="2"/>
  <c r="I26" i="2" s="1"/>
  <c r="J27" i="2"/>
  <c r="J26" i="2" s="1"/>
  <c r="K27" i="2"/>
  <c r="K26" i="2" s="1"/>
  <c r="L27" i="2"/>
  <c r="L26" i="2" s="1"/>
  <c r="M27" i="2"/>
  <c r="M26" i="2" s="1"/>
  <c r="N27" i="2"/>
  <c r="N26" i="2" s="1"/>
  <c r="O27" i="2"/>
  <c r="O26" i="2" s="1"/>
  <c r="T27" i="2"/>
  <c r="T26" i="2" s="1"/>
  <c r="U27" i="2"/>
  <c r="U26" i="2" s="1"/>
  <c r="V27" i="2"/>
  <c r="V26" i="2" s="1"/>
  <c r="W27" i="2"/>
  <c r="W26" i="2" s="1"/>
  <c r="D27" i="2"/>
  <c r="D26" i="2" s="1"/>
  <c r="E24" i="2"/>
  <c r="F24" i="2"/>
  <c r="G24" i="2"/>
  <c r="H24" i="2"/>
  <c r="I24" i="2"/>
  <c r="J24" i="2"/>
  <c r="K24" i="2"/>
  <c r="L24" i="2"/>
  <c r="M24" i="2"/>
  <c r="N24" i="2"/>
  <c r="O24" i="2"/>
  <c r="T24" i="2"/>
  <c r="U24" i="2"/>
  <c r="V24" i="2"/>
  <c r="W24" i="2"/>
  <c r="D24" i="2"/>
  <c r="C23" i="1"/>
  <c r="E23" i="1"/>
  <c r="F23" i="1"/>
  <c r="G23" i="1"/>
  <c r="H23" i="1"/>
  <c r="I23" i="1"/>
  <c r="J23" i="1"/>
  <c r="K23" i="1"/>
  <c r="L23" i="1"/>
  <c r="M23" i="1"/>
  <c r="N23" i="1"/>
  <c r="O23" i="1"/>
  <c r="T23" i="1"/>
  <c r="U23" i="1"/>
  <c r="V23" i="1"/>
  <c r="W23" i="1"/>
  <c r="D23" i="1"/>
  <c r="E26" i="1"/>
  <c r="E25" i="1" s="1"/>
  <c r="F26" i="1"/>
  <c r="F25" i="1" s="1"/>
  <c r="G26" i="1"/>
  <c r="G25" i="1" s="1"/>
  <c r="H26" i="1"/>
  <c r="H25" i="1" s="1"/>
  <c r="I26" i="1"/>
  <c r="I25" i="1" s="1"/>
  <c r="J26" i="1"/>
  <c r="J25" i="1" s="1"/>
  <c r="K26" i="1"/>
  <c r="K25" i="1" s="1"/>
  <c r="L26" i="1"/>
  <c r="L25" i="1" s="1"/>
  <c r="M26" i="1"/>
  <c r="M25" i="1" s="1"/>
  <c r="N26" i="1"/>
  <c r="N25" i="1" s="1"/>
  <c r="T26" i="1"/>
  <c r="T25" i="1" s="1"/>
  <c r="U26" i="1"/>
  <c r="U25" i="1" s="1"/>
  <c r="V26" i="1"/>
  <c r="V25" i="1" s="1"/>
  <c r="W26" i="1"/>
  <c r="W25" i="1" s="1"/>
  <c r="D26" i="1"/>
  <c r="D25" i="1" s="1"/>
  <c r="BA27" i="4" l="1"/>
  <c r="CB27" i="4"/>
  <c r="D18" i="29"/>
  <c r="K27" i="20"/>
  <c r="J20" i="20"/>
  <c r="J16" i="20"/>
  <c r="J15" i="20" s="1"/>
  <c r="I33" i="20" l="1"/>
  <c r="AL25" i="4"/>
  <c r="M308" i="38" l="1"/>
  <c r="V152" i="38"/>
  <c r="V135" i="38"/>
  <c r="V129" i="38"/>
  <c r="T75" i="38"/>
  <c r="R75" i="38"/>
  <c r="P75" i="38"/>
  <c r="N75" i="38"/>
  <c r="L75" i="38"/>
  <c r="T73" i="38"/>
  <c r="R73" i="38"/>
  <c r="P73" i="38"/>
  <c r="N73" i="38"/>
  <c r="L73" i="38"/>
  <c r="T72" i="38"/>
  <c r="R72" i="38"/>
  <c r="P72" i="38"/>
  <c r="N72" i="38"/>
  <c r="L72" i="38"/>
  <c r="T71" i="38"/>
  <c r="R71" i="38"/>
  <c r="P71" i="38"/>
  <c r="N71" i="38"/>
  <c r="L71" i="38"/>
  <c r="T69" i="38"/>
  <c r="R69" i="38"/>
  <c r="P69" i="38"/>
  <c r="N69" i="38"/>
  <c r="L69" i="38"/>
  <c r="T68" i="38"/>
  <c r="R68" i="38"/>
  <c r="P68" i="38"/>
  <c r="N68" i="38"/>
  <c r="L68" i="38"/>
  <c r="T66" i="38"/>
  <c r="R66" i="38"/>
  <c r="P66" i="38"/>
  <c r="N66" i="38"/>
  <c r="L66" i="38"/>
  <c r="T65" i="38"/>
  <c r="R65" i="38"/>
  <c r="P65" i="38"/>
  <c r="N65" i="38"/>
  <c r="L65" i="38"/>
  <c r="T64" i="38"/>
  <c r="R64" i="38"/>
  <c r="P64" i="38"/>
  <c r="N64" i="38"/>
  <c r="N59" i="38" s="1"/>
  <c r="L64" i="38"/>
  <c r="T58" i="38"/>
  <c r="R58" i="38"/>
  <c r="P58" i="38"/>
  <c r="N58" i="38"/>
  <c r="L58" i="38"/>
  <c r="T57" i="38"/>
  <c r="R57" i="38"/>
  <c r="P57" i="38"/>
  <c r="N57" i="38"/>
  <c r="L57" i="38"/>
  <c r="V49" i="38"/>
  <c r="V43" i="38"/>
  <c r="V34" i="38"/>
  <c r="V28" i="38"/>
  <c r="T54" i="38"/>
  <c r="R54" i="38"/>
  <c r="P54" i="38"/>
  <c r="P26" i="38" s="1"/>
  <c r="N54" i="38"/>
  <c r="N26" i="38" s="1"/>
  <c r="L54" i="38"/>
  <c r="N41" i="38"/>
  <c r="T151" i="38"/>
  <c r="T120" i="38"/>
  <c r="T114" i="38"/>
  <c r="T144" i="38" s="1"/>
  <c r="T100" i="38"/>
  <c r="T94" i="38"/>
  <c r="T92" i="38"/>
  <c r="T86" i="38"/>
  <c r="R151" i="38"/>
  <c r="R120" i="38"/>
  <c r="R150" i="38" s="1"/>
  <c r="R114" i="38"/>
  <c r="R144" i="38" s="1"/>
  <c r="R100" i="38"/>
  <c r="R94" i="38"/>
  <c r="R92" i="38"/>
  <c r="R86" i="38"/>
  <c r="P151" i="38"/>
  <c r="P120" i="38"/>
  <c r="P150" i="38" s="1"/>
  <c r="P114" i="38"/>
  <c r="P144" i="38" s="1"/>
  <c r="P100" i="38"/>
  <c r="P94" i="38"/>
  <c r="P92" i="38"/>
  <c r="P86" i="38"/>
  <c r="N151" i="38"/>
  <c r="N120" i="38"/>
  <c r="N114" i="38"/>
  <c r="N144" i="38" s="1"/>
  <c r="N100" i="38"/>
  <c r="N94" i="38"/>
  <c r="N92" i="38"/>
  <c r="N86" i="38"/>
  <c r="L151" i="38"/>
  <c r="L120" i="38"/>
  <c r="L114" i="38"/>
  <c r="L100" i="38"/>
  <c r="L94" i="38"/>
  <c r="L92" i="38"/>
  <c r="L86" i="38"/>
  <c r="L59" i="38"/>
  <c r="Q151" i="38"/>
  <c r="Q150" i="38"/>
  <c r="Q93" i="38"/>
  <c r="Q92" i="38"/>
  <c r="Q59" i="38"/>
  <c r="Q50" i="38"/>
  <c r="Q35" i="38"/>
  <c r="Q347" i="38"/>
  <c r="Q20" i="38"/>
  <c r="U151" i="38"/>
  <c r="U93" i="38"/>
  <c r="U92" i="38"/>
  <c r="U59" i="38"/>
  <c r="U35" i="38"/>
  <c r="U347" i="38"/>
  <c r="K151" i="38"/>
  <c r="K120" i="38"/>
  <c r="K150" i="38" s="1"/>
  <c r="K114" i="38"/>
  <c r="K144" i="38" s="1"/>
  <c r="K100" i="38"/>
  <c r="K94" i="38"/>
  <c r="K92" i="38"/>
  <c r="K86" i="38"/>
  <c r="K73" i="38"/>
  <c r="K71" i="38"/>
  <c r="K67" i="38"/>
  <c r="K65" i="38"/>
  <c r="K59" i="38"/>
  <c r="K58" i="38"/>
  <c r="K50" i="38" s="1"/>
  <c r="K54" i="38"/>
  <c r="K41" i="38"/>
  <c r="K35" i="38" s="1"/>
  <c r="K26" i="38"/>
  <c r="K20" i="38" s="1"/>
  <c r="L70" i="38" l="1"/>
  <c r="K70" i="38"/>
  <c r="T93" i="38"/>
  <c r="V94" i="38"/>
  <c r="N150" i="38"/>
  <c r="N70" i="38"/>
  <c r="P93" i="38"/>
  <c r="L93" i="38"/>
  <c r="R93" i="38"/>
  <c r="V100" i="38"/>
  <c r="V92" i="38"/>
  <c r="R67" i="38"/>
  <c r="K93" i="38"/>
  <c r="N93" i="38"/>
  <c r="K84" i="38"/>
  <c r="R59" i="38"/>
  <c r="R41" i="38"/>
  <c r="T26" i="38"/>
  <c r="T20" i="38" s="1"/>
  <c r="T59" i="38"/>
  <c r="R26" i="38"/>
  <c r="R20" i="38" s="1"/>
  <c r="L41" i="38"/>
  <c r="L35" i="38" s="1"/>
  <c r="T207" i="38"/>
  <c r="T70" i="38"/>
  <c r="L26" i="38"/>
  <c r="L50" i="38"/>
  <c r="P70" i="38"/>
  <c r="V73" i="38"/>
  <c r="N67" i="38"/>
  <c r="V114" i="38"/>
  <c r="V86" i="38"/>
  <c r="L144" i="38"/>
  <c r="V144" i="38" s="1"/>
  <c r="K347" i="38"/>
  <c r="L150" i="38"/>
  <c r="P59" i="38"/>
  <c r="L67" i="38"/>
  <c r="T150" i="38"/>
  <c r="R50" i="38"/>
  <c r="V120" i="38"/>
  <c r="T67" i="38"/>
  <c r="V71" i="38"/>
  <c r="K308" i="38"/>
  <c r="V54" i="38"/>
  <c r="N50" i="38"/>
  <c r="P50" i="38"/>
  <c r="P41" i="38"/>
  <c r="P84" i="38" s="1"/>
  <c r="P112" i="38" s="1"/>
  <c r="T41" i="38"/>
  <c r="T35" i="38" s="1"/>
  <c r="V57" i="38"/>
  <c r="V72" i="38"/>
  <c r="Q207" i="38"/>
  <c r="P164" i="38"/>
  <c r="V75" i="38"/>
  <c r="R70" i="38"/>
  <c r="V69" i="38"/>
  <c r="P67" i="38"/>
  <c r="V68" i="38"/>
  <c r="V66" i="38"/>
  <c r="V65" i="38"/>
  <c r="V64" i="38"/>
  <c r="T50" i="38"/>
  <c r="V58" i="38"/>
  <c r="P20" i="38"/>
  <c r="P347" i="38"/>
  <c r="N20" i="38"/>
  <c r="R35" i="38"/>
  <c r="N35" i="38"/>
  <c r="P308" i="38"/>
  <c r="Q136" i="38"/>
  <c r="Q78" i="38"/>
  <c r="Q106" i="38" s="1"/>
  <c r="U20" i="38"/>
  <c r="U50" i="38"/>
  <c r="U150" i="38"/>
  <c r="K112" i="38"/>
  <c r="K78" i="38"/>
  <c r="K106" i="38" s="1"/>
  <c r="J152" i="38"/>
  <c r="J151" i="38" s="1"/>
  <c r="J100" i="38"/>
  <c r="J94" i="38"/>
  <c r="J93" i="38" s="1"/>
  <c r="J92" i="38"/>
  <c r="J120" i="38" s="1"/>
  <c r="J73" i="38"/>
  <c r="J71" i="38"/>
  <c r="J67" i="38"/>
  <c r="J65" i="38"/>
  <c r="J59" i="38"/>
  <c r="J58" i="38"/>
  <c r="J54" i="38"/>
  <c r="J28" i="38"/>
  <c r="I207" i="38"/>
  <c r="I240" i="38" s="1"/>
  <c r="I347" i="38"/>
  <c r="I308" i="38"/>
  <c r="I164" i="38"/>
  <c r="I120" i="38"/>
  <c r="I114" i="38"/>
  <c r="I100" i="38"/>
  <c r="I94" i="38"/>
  <c r="I92" i="38"/>
  <c r="I86" i="38"/>
  <c r="I84" i="38"/>
  <c r="I73" i="38"/>
  <c r="I71" i="38"/>
  <c r="I67" i="38"/>
  <c r="I65" i="38"/>
  <c r="I64" i="38"/>
  <c r="I59" i="38" s="1"/>
  <c r="I58" i="38"/>
  <c r="I50" i="38" s="1"/>
  <c r="I35" i="38"/>
  <c r="I20" i="38"/>
  <c r="J70" i="38" l="1"/>
  <c r="I93" i="38"/>
  <c r="V150" i="38"/>
  <c r="T347" i="38"/>
  <c r="T308" i="38"/>
  <c r="P35" i="38"/>
  <c r="I78" i="38"/>
  <c r="I106" i="38" s="1"/>
  <c r="L84" i="38"/>
  <c r="L78" i="38" s="1"/>
  <c r="L106" i="38" s="1"/>
  <c r="L157" i="38" s="1"/>
  <c r="L20" i="38"/>
  <c r="I302" i="38"/>
  <c r="K207" i="38"/>
  <c r="K240" i="38" s="1"/>
  <c r="V26" i="38"/>
  <c r="V20" i="38" s="1"/>
  <c r="V70" i="38"/>
  <c r="V41" i="38"/>
  <c r="I182" i="38"/>
  <c r="K164" i="38"/>
  <c r="K302" i="38" s="1"/>
  <c r="I70" i="38"/>
  <c r="I112" i="38"/>
  <c r="J86" i="38"/>
  <c r="T164" i="38"/>
  <c r="T302" i="38" s="1"/>
  <c r="P78" i="38"/>
  <c r="P106" i="38" s="1"/>
  <c r="P157" i="38" s="1"/>
  <c r="P207" i="38"/>
  <c r="P240" i="38" s="1"/>
  <c r="J50" i="38"/>
  <c r="V67" i="38"/>
  <c r="P302" i="38"/>
  <c r="Q240" i="38"/>
  <c r="T240" i="38"/>
  <c r="U207" i="38"/>
  <c r="T84" i="38"/>
  <c r="R84" i="38"/>
  <c r="P127" i="38"/>
  <c r="P142" i="38" s="1"/>
  <c r="P136" i="38" s="1"/>
  <c r="N84" i="38"/>
  <c r="Q121" i="38"/>
  <c r="Q308" i="38"/>
  <c r="Q164" i="38"/>
  <c r="U308" i="38"/>
  <c r="U164" i="38"/>
  <c r="U78" i="38"/>
  <c r="U106" i="38" s="1"/>
  <c r="K127" i="38"/>
  <c r="K142" i="38" s="1"/>
  <c r="K136" i="38" s="1"/>
  <c r="K157" i="38"/>
  <c r="K121" i="38"/>
  <c r="J114" i="38"/>
  <c r="J41" i="38"/>
  <c r="J35" i="38" s="1"/>
  <c r="J135" i="38"/>
  <c r="J150" i="38" s="1"/>
  <c r="J26" i="38"/>
  <c r="I157" i="38"/>
  <c r="I136" i="38"/>
  <c r="I152" i="38" s="1"/>
  <c r="I151" i="38" s="1"/>
  <c r="M347" i="38"/>
  <c r="L347" i="38"/>
  <c r="M164" i="38"/>
  <c r="L164" i="38"/>
  <c r="L308" i="38"/>
  <c r="O151" i="38"/>
  <c r="S151" i="38"/>
  <c r="W105" i="38"/>
  <c r="V105" i="38"/>
  <c r="W104" i="38"/>
  <c r="V104" i="38"/>
  <c r="S93" i="38"/>
  <c r="M93" i="38"/>
  <c r="W99" i="38"/>
  <c r="W94" i="38" s="1"/>
  <c r="V99" i="38"/>
  <c r="O93" i="38"/>
  <c r="S92" i="38"/>
  <c r="O92" i="38"/>
  <c r="M92" i="38"/>
  <c r="W75" i="38"/>
  <c r="W72" i="38"/>
  <c r="W69" i="38"/>
  <c r="W68" i="38"/>
  <c r="W66" i="38"/>
  <c r="W65" i="38"/>
  <c r="W64" i="38"/>
  <c r="S59" i="38"/>
  <c r="O59" i="38"/>
  <c r="M59" i="38"/>
  <c r="W58" i="38"/>
  <c r="W57" i="38"/>
  <c r="S50" i="38"/>
  <c r="M50" i="38"/>
  <c r="W49" i="38"/>
  <c r="W43" i="38"/>
  <c r="M35" i="38"/>
  <c r="W34" i="38"/>
  <c r="W28" i="38"/>
  <c r="M20" i="38"/>
  <c r="L121" i="38" l="1"/>
  <c r="L112" i="38"/>
  <c r="L127" i="38" s="1"/>
  <c r="W67" i="38"/>
  <c r="M302" i="38"/>
  <c r="V84" i="38"/>
  <c r="V78" i="38" s="1"/>
  <c r="P121" i="38"/>
  <c r="I246" i="38"/>
  <c r="I239" i="38"/>
  <c r="J347" i="38"/>
  <c r="Q182" i="38"/>
  <c r="Q246" i="38" s="1"/>
  <c r="W59" i="38"/>
  <c r="K182" i="38"/>
  <c r="K246" i="38" s="1"/>
  <c r="J207" i="38"/>
  <c r="J240" i="38" s="1"/>
  <c r="L142" i="38"/>
  <c r="U240" i="38"/>
  <c r="T112" i="38"/>
  <c r="T78" i="38"/>
  <c r="T106" i="38" s="1"/>
  <c r="R112" i="38"/>
  <c r="R78" i="38"/>
  <c r="R106" i="38" s="1"/>
  <c r="N112" i="38"/>
  <c r="N78" i="38"/>
  <c r="N106" i="38" s="1"/>
  <c r="V93" i="38"/>
  <c r="W93" i="38"/>
  <c r="W86" i="38"/>
  <c r="S150" i="38"/>
  <c r="S207" i="38"/>
  <c r="M78" i="38"/>
  <c r="M106" i="38" s="1"/>
  <c r="Q302" i="38"/>
  <c r="U136" i="38"/>
  <c r="U121" i="38"/>
  <c r="U302" i="38"/>
  <c r="J129" i="38"/>
  <c r="J144" i="38" s="1"/>
  <c r="J20" i="38"/>
  <c r="J84" i="38"/>
  <c r="O135" i="38"/>
  <c r="W135" i="38" s="1"/>
  <c r="V59" i="38"/>
  <c r="O50" i="38"/>
  <c r="W71" i="38"/>
  <c r="W73" i="38"/>
  <c r="W54" i="38"/>
  <c r="W92" i="38"/>
  <c r="W120" i="38"/>
  <c r="M207" i="38"/>
  <c r="L207" i="38"/>
  <c r="R207" i="38"/>
  <c r="R347" i="38"/>
  <c r="L302" i="38"/>
  <c r="W114" i="38"/>
  <c r="S35" i="38"/>
  <c r="M182" i="38"/>
  <c r="N207" i="38"/>
  <c r="K239" i="38" l="1"/>
  <c r="K247" i="38" s="1"/>
  <c r="V106" i="38"/>
  <c r="V157" i="38" s="1"/>
  <c r="P182" i="38"/>
  <c r="P239" i="38" s="1"/>
  <c r="J164" i="38"/>
  <c r="J308" i="38"/>
  <c r="I247" i="38"/>
  <c r="V112" i="38"/>
  <c r="L136" i="38"/>
  <c r="M240" i="38"/>
  <c r="M246" i="38"/>
  <c r="N240" i="38"/>
  <c r="R240" i="38"/>
  <c r="S240" i="38"/>
  <c r="L240" i="38"/>
  <c r="T121" i="38"/>
  <c r="T157" i="38"/>
  <c r="T127" i="38"/>
  <c r="T142" i="38" s="1"/>
  <c r="R121" i="38"/>
  <c r="R157" i="38"/>
  <c r="R127" i="38"/>
  <c r="R142" i="38" s="1"/>
  <c r="R136" i="38" s="1"/>
  <c r="N121" i="38"/>
  <c r="N157" i="38"/>
  <c r="N127" i="38"/>
  <c r="V207" i="38"/>
  <c r="O150" i="38"/>
  <c r="M136" i="38"/>
  <c r="O207" i="38"/>
  <c r="Q239" i="38"/>
  <c r="Q247" i="38" s="1"/>
  <c r="U182" i="38"/>
  <c r="U246" i="38" s="1"/>
  <c r="W70" i="38"/>
  <c r="J112" i="38"/>
  <c r="J78" i="38"/>
  <c r="J106" i="38" s="1"/>
  <c r="M239" i="38"/>
  <c r="R308" i="38"/>
  <c r="R164" i="38"/>
  <c r="S347" i="38"/>
  <c r="S20" i="38"/>
  <c r="W207" i="38"/>
  <c r="W129" i="38"/>
  <c r="W50" i="38"/>
  <c r="V50" i="38"/>
  <c r="V35" i="38"/>
  <c r="V151" i="38"/>
  <c r="O35" i="38"/>
  <c r="W41" i="38"/>
  <c r="W35" i="38" s="1"/>
  <c r="O347" i="38"/>
  <c r="O20" i="38"/>
  <c r="W26" i="38"/>
  <c r="N347" i="38"/>
  <c r="P246" i="38" l="1"/>
  <c r="P247" i="38" s="1"/>
  <c r="V127" i="38"/>
  <c r="J302" i="38"/>
  <c r="R182" i="38"/>
  <c r="R246" i="38" s="1"/>
  <c r="V121" i="38"/>
  <c r="T136" i="38"/>
  <c r="N142" i="38"/>
  <c r="V142" i="38" s="1"/>
  <c r="T182" i="38"/>
  <c r="W240" i="38"/>
  <c r="O240" i="38"/>
  <c r="M247" i="38"/>
  <c r="V240" i="38"/>
  <c r="U239" i="38"/>
  <c r="U247" i="38" s="1"/>
  <c r="J121" i="38"/>
  <c r="J157" i="38"/>
  <c r="J127" i="38"/>
  <c r="J142" i="38" s="1"/>
  <c r="N308" i="38"/>
  <c r="N164" i="38"/>
  <c r="O308" i="38"/>
  <c r="O164" i="38"/>
  <c r="S78" i="38"/>
  <c r="S106" i="38" s="1"/>
  <c r="V347" i="38"/>
  <c r="O78" i="38"/>
  <c r="O106" i="38" s="1"/>
  <c r="W152" i="38"/>
  <c r="W151" i="38" s="1"/>
  <c r="M151" i="38"/>
  <c r="S308" i="38"/>
  <c r="S164" i="38"/>
  <c r="W347" i="38"/>
  <c r="W20" i="38"/>
  <c r="W84" i="38"/>
  <c r="R302" i="38"/>
  <c r="R239" i="38" l="1"/>
  <c r="R247" i="38" s="1"/>
  <c r="J136" i="38"/>
  <c r="J182" i="38"/>
  <c r="J239" i="38" s="1"/>
  <c r="N136" i="38"/>
  <c r="V136" i="38" s="1"/>
  <c r="T246" i="38"/>
  <c r="T239" i="38"/>
  <c r="N182" i="38"/>
  <c r="N246" i="38" s="1"/>
  <c r="W112" i="38"/>
  <c r="W78" i="38"/>
  <c r="W106" i="38" s="1"/>
  <c r="W157" i="38" s="1"/>
  <c r="S121" i="38"/>
  <c r="S302" i="38"/>
  <c r="O121" i="38"/>
  <c r="O302" i="38"/>
  <c r="W308" i="38"/>
  <c r="W164" i="38"/>
  <c r="V308" i="38"/>
  <c r="V164" i="38"/>
  <c r="S136" i="38"/>
  <c r="N302" i="38"/>
  <c r="T247" i="38" l="1"/>
  <c r="N239" i="38"/>
  <c r="N247" i="38" s="1"/>
  <c r="S182" i="38"/>
  <c r="S246" i="38" s="1"/>
  <c r="O136" i="38"/>
  <c r="W136" i="38" s="1"/>
  <c r="V302" i="38"/>
  <c r="W302" i="38"/>
  <c r="W127" i="38"/>
  <c r="O182" i="38"/>
  <c r="O246" i="38" s="1"/>
  <c r="S239" i="38" l="1"/>
  <c r="S247" i="38" s="1"/>
  <c r="O239" i="38"/>
  <c r="O247" i="38" s="1"/>
  <c r="W182" i="38"/>
  <c r="W246" i="38" s="1"/>
  <c r="W239" i="38" l="1"/>
  <c r="W247" i="38" l="1"/>
  <c r="R21" i="20"/>
  <c r="R20" i="20" s="1"/>
  <c r="R14" i="20" s="1"/>
  <c r="R13" i="20" s="1"/>
  <c r="S21" i="20"/>
  <c r="S20" i="20" s="1"/>
  <c r="S14" i="20" s="1"/>
  <c r="S13" i="20" s="1"/>
  <c r="T21" i="20"/>
  <c r="T20" i="20" s="1"/>
  <c r="T14" i="20" s="1"/>
  <c r="T13" i="20" s="1"/>
  <c r="V14" i="20"/>
  <c r="V13" i="20" s="1"/>
  <c r="W20" i="20"/>
  <c r="W14" i="20" s="1"/>
  <c r="W13" i="20" s="1"/>
  <c r="X20" i="20"/>
  <c r="X14" i="20" s="1"/>
  <c r="X13" i="20" s="1"/>
  <c r="Y20" i="20"/>
  <c r="Z20" i="20"/>
  <c r="AA20" i="20"/>
  <c r="AB20" i="20"/>
  <c r="Q21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8" i="20"/>
  <c r="AB27" i="20" s="1"/>
  <c r="AB14" i="20" s="1"/>
  <c r="AB13" i="20" s="1"/>
  <c r="M27" i="20"/>
  <c r="E15" i="20"/>
  <c r="E14" i="20" s="1"/>
  <c r="G15" i="20"/>
  <c r="G14" i="20" s="1"/>
  <c r="H15" i="20"/>
  <c r="H14" i="20" s="1"/>
  <c r="E27" i="20"/>
  <c r="G27" i="20"/>
  <c r="H27" i="20"/>
  <c r="AB33" i="20"/>
  <c r="O29" i="20"/>
  <c r="O27" i="20" s="1"/>
  <c r="O22" i="20"/>
  <c r="O17" i="20"/>
  <c r="H12" i="20" l="1"/>
  <c r="M12" i="20"/>
  <c r="E12" i="20"/>
  <c r="G12" i="20"/>
  <c r="M31" i="20"/>
  <c r="M32" i="20"/>
  <c r="M29" i="20"/>
  <c r="M36" i="20"/>
  <c r="M34" i="20"/>
  <c r="AC29" i="18"/>
  <c r="AC22" i="18"/>
  <c r="AC17" i="18"/>
  <c r="DC42" i="15"/>
  <c r="DC40" i="15"/>
  <c r="DB34" i="15"/>
  <c r="DB35" i="15"/>
  <c r="DB37" i="15"/>
  <c r="DB38" i="15"/>
  <c r="DB33" i="15"/>
  <c r="CX27" i="15"/>
  <c r="CX28" i="15"/>
  <c r="CX30" i="15"/>
  <c r="DA30" i="15"/>
  <c r="DB30" i="15"/>
  <c r="CX26" i="15"/>
  <c r="DA26" i="15"/>
  <c r="DA22" i="15"/>
  <c r="DB22" i="15"/>
  <c r="DC22" i="15"/>
  <c r="CG19" i="15"/>
  <c r="CI19" i="15"/>
  <c r="CK19" i="15"/>
  <c r="CM19" i="15"/>
  <c r="CH31" i="15"/>
  <c r="CI31" i="15"/>
  <c r="CL32" i="15"/>
  <c r="CL31" i="15" s="1"/>
  <c r="CM31" i="15"/>
  <c r="BW39" i="15"/>
  <c r="BW17" i="15" s="1"/>
  <c r="BR31" i="15"/>
  <c r="BS31" i="15"/>
  <c r="BV32" i="15"/>
  <c r="BV31" i="15" s="1"/>
  <c r="BW31" i="15"/>
  <c r="BR25" i="15"/>
  <c r="BR24" i="15" s="1"/>
  <c r="BS24" i="15"/>
  <c r="BV24" i="15"/>
  <c r="BW24" i="15"/>
  <c r="BR19" i="15"/>
  <c r="BS19" i="15"/>
  <c r="BU19" i="15"/>
  <c r="BU18" i="15" s="1"/>
  <c r="BV19" i="15"/>
  <c r="BW19" i="15"/>
  <c r="BG39" i="15"/>
  <c r="BG17" i="15" s="1"/>
  <c r="BB31" i="15"/>
  <c r="BC31" i="15"/>
  <c r="BF32" i="15"/>
  <c r="BF31" i="15" s="1"/>
  <c r="BG31" i="15"/>
  <c r="BB28" i="15"/>
  <c r="BB27" i="15"/>
  <c r="AO26" i="15"/>
  <c r="AM31" i="15"/>
  <c r="AP34" i="15"/>
  <c r="AP32" i="15" s="1"/>
  <c r="AP31" i="15" s="1"/>
  <c r="AQ31" i="15"/>
  <c r="V19" i="15"/>
  <c r="W19" i="15"/>
  <c r="Z19" i="15"/>
  <c r="AA19" i="15"/>
  <c r="U31" i="15"/>
  <c r="V31" i="15"/>
  <c r="W31" i="15"/>
  <c r="Y31" i="15"/>
  <c r="Z33" i="15"/>
  <c r="Z32" i="15" s="1"/>
  <c r="Z31" i="15" s="1"/>
  <c r="AA31" i="15"/>
  <c r="BM31" i="15"/>
  <c r="BK31" i="15"/>
  <c r="BJ31" i="15"/>
  <c r="BI31" i="15"/>
  <c r="BH31" i="15"/>
  <c r="BE31" i="15"/>
  <c r="BD31" i="15"/>
  <c r="BA31" i="15"/>
  <c r="AZ31" i="15"/>
  <c r="BO31" i="15"/>
  <c r="BL31" i="15"/>
  <c r="BM19" i="15"/>
  <c r="BL19" i="15"/>
  <c r="BK19" i="15"/>
  <c r="BJ19" i="15"/>
  <c r="BI19" i="15"/>
  <c r="BG19" i="15"/>
  <c r="BF19" i="15"/>
  <c r="BE19" i="15"/>
  <c r="BD19" i="15"/>
  <c r="BB19" i="15"/>
  <c r="BA19" i="15"/>
  <c r="AZ19" i="15"/>
  <c r="BO19" i="15"/>
  <c r="BN19" i="15"/>
  <c r="BH19" i="15"/>
  <c r="BC19" i="15"/>
  <c r="CE31" i="15"/>
  <c r="CC31" i="15"/>
  <c r="CB31" i="15"/>
  <c r="CA31" i="15"/>
  <c r="BZ31" i="15"/>
  <c r="BY31" i="15"/>
  <c r="BX31" i="15"/>
  <c r="BU31" i="15"/>
  <c r="BT31" i="15"/>
  <c r="BQ31" i="15"/>
  <c r="BP31" i="15"/>
  <c r="CE24" i="15"/>
  <c r="CD24" i="15"/>
  <c r="CC24" i="15"/>
  <c r="CB24" i="15"/>
  <c r="CA24" i="15"/>
  <c r="BT24" i="15"/>
  <c r="CE19" i="15"/>
  <c r="CD19" i="15"/>
  <c r="CC19" i="15"/>
  <c r="CC16" i="15" s="1"/>
  <c r="CB19" i="15"/>
  <c r="CA19" i="15"/>
  <c r="BZ19" i="15"/>
  <c r="BY19" i="15"/>
  <c r="BT19" i="15"/>
  <c r="BQ19" i="15"/>
  <c r="I19" i="15"/>
  <c r="J19" i="15"/>
  <c r="K19" i="15"/>
  <c r="M19" i="15"/>
  <c r="N19" i="15"/>
  <c r="O19" i="15"/>
  <c r="P19" i="15"/>
  <c r="Q19" i="15"/>
  <c r="R19" i="15"/>
  <c r="S19" i="15"/>
  <c r="T19" i="15"/>
  <c r="U19" i="15"/>
  <c r="X19" i="15"/>
  <c r="Y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X19" i="15"/>
  <c r="AY19" i="15"/>
  <c r="CF19" i="15"/>
  <c r="CH19" i="15"/>
  <c r="CJ19" i="15"/>
  <c r="CL19" i="15"/>
  <c r="CN19" i="15"/>
  <c r="CO19" i="15"/>
  <c r="CP19" i="15"/>
  <c r="CQ19" i="15"/>
  <c r="CR19" i="15"/>
  <c r="CS19" i="15"/>
  <c r="CT19" i="15"/>
  <c r="CU19" i="15"/>
  <c r="DL19" i="15"/>
  <c r="DL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S31" i="15"/>
  <c r="T31" i="15"/>
  <c r="X31" i="15"/>
  <c r="AB31" i="15"/>
  <c r="AC31" i="15"/>
  <c r="AD31" i="15"/>
  <c r="AE31" i="15"/>
  <c r="AF31" i="15"/>
  <c r="AG31" i="15"/>
  <c r="AI31" i="15"/>
  <c r="AJ31" i="15"/>
  <c r="AK31" i="15"/>
  <c r="AL31" i="15"/>
  <c r="AN31" i="15"/>
  <c r="AO31" i="15"/>
  <c r="AR31" i="15"/>
  <c r="AS31" i="15"/>
  <c r="AT31" i="15"/>
  <c r="AU31" i="15"/>
  <c r="AV31" i="15"/>
  <c r="AW31" i="15"/>
  <c r="AX31" i="15"/>
  <c r="AY31" i="15"/>
  <c r="CF31" i="15"/>
  <c r="CG31" i="15"/>
  <c r="CJ31" i="15"/>
  <c r="CK31" i="15"/>
  <c r="CN31" i="15"/>
  <c r="CO31" i="15"/>
  <c r="CP31" i="15"/>
  <c r="CQ31" i="15"/>
  <c r="CR31" i="15"/>
  <c r="CS31" i="15"/>
  <c r="CU31" i="15"/>
  <c r="CV31" i="15"/>
  <c r="CZ31" i="15"/>
  <c r="DA31" i="15"/>
  <c r="DD31" i="15"/>
  <c r="DE31" i="15"/>
  <c r="DF31" i="15"/>
  <c r="DG31" i="15"/>
  <c r="DH31" i="15"/>
  <c r="DI31" i="15"/>
  <c r="DK31" i="15"/>
  <c r="K39" i="15"/>
  <c r="K17" i="15" s="1"/>
  <c r="K20" i="14"/>
  <c r="L20" i="14"/>
  <c r="M20" i="14"/>
  <c r="N20" i="14"/>
  <c r="O20" i="14"/>
  <c r="P20" i="14"/>
  <c r="Q20" i="14"/>
  <c r="R20" i="14"/>
  <c r="R18" i="14" s="1"/>
  <c r="R17" i="14" s="1"/>
  <c r="S20" i="14"/>
  <c r="T20" i="14"/>
  <c r="U20" i="14"/>
  <c r="V20" i="14"/>
  <c r="W20" i="14"/>
  <c r="X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T19" i="14" s="1"/>
  <c r="AT18" i="14" s="1"/>
  <c r="AT17" i="14" s="1"/>
  <c r="BG20" i="14"/>
  <c r="BH20" i="14"/>
  <c r="BO20" i="14"/>
  <c r="BP20" i="14"/>
  <c r="BQ20" i="14"/>
  <c r="BR20" i="14"/>
  <c r="BS20" i="14"/>
  <c r="BT20" i="14"/>
  <c r="BU20" i="14"/>
  <c r="BV20" i="14"/>
  <c r="AC25" i="14"/>
  <c r="AD25" i="14"/>
  <c r="AE25" i="14"/>
  <c r="AN25" i="14"/>
  <c r="AO25" i="14"/>
  <c r="AQ25" i="14"/>
  <c r="AR25" i="14"/>
  <c r="AS25" i="14"/>
  <c r="AT25" i="14"/>
  <c r="BA25" i="14"/>
  <c r="BC25" i="14"/>
  <c r="BE25" i="14"/>
  <c r="BF25" i="14"/>
  <c r="BG25" i="14"/>
  <c r="BH25" i="14"/>
  <c r="BI25" i="14"/>
  <c r="BJ25" i="14"/>
  <c r="BK25" i="14"/>
  <c r="BL25" i="14"/>
  <c r="BM25" i="14"/>
  <c r="BN25" i="14"/>
  <c r="BO25" i="14"/>
  <c r="BP25" i="14"/>
  <c r="BQ25" i="14"/>
  <c r="BR25" i="14"/>
  <c r="BS25" i="14"/>
  <c r="BT25" i="14"/>
  <c r="BU25" i="14"/>
  <c r="BV25" i="14"/>
  <c r="AF32" i="14"/>
  <c r="AM32" i="14"/>
  <c r="AN32" i="14"/>
  <c r="AO32" i="14"/>
  <c r="AP32" i="14"/>
  <c r="AQ32" i="14"/>
  <c r="AS32" i="14"/>
  <c r="BB32" i="14"/>
  <c r="BC32" i="14"/>
  <c r="BD32" i="14"/>
  <c r="BE32" i="14"/>
  <c r="BG32" i="14"/>
  <c r="BH32" i="14"/>
  <c r="BO32" i="14"/>
  <c r="BP32" i="14"/>
  <c r="BQ32" i="14"/>
  <c r="BR32" i="14"/>
  <c r="BS32" i="14"/>
  <c r="BU32" i="14"/>
  <c r="BV32" i="14"/>
  <c r="I20" i="14"/>
  <c r="AA39" i="37"/>
  <c r="AB39" i="37"/>
  <c r="BJ39" i="14" s="1"/>
  <c r="BJ32" i="14" s="1"/>
  <c r="AC39" i="37"/>
  <c r="BK39" i="14" s="1"/>
  <c r="BK32" i="14" s="1"/>
  <c r="BL39" i="14"/>
  <c r="BL32" i="14" s="1"/>
  <c r="AM39" i="37"/>
  <c r="AM33" i="37" s="1"/>
  <c r="AF39" i="37"/>
  <c r="BN32" i="14" s="1"/>
  <c r="AA24" i="37"/>
  <c r="BI24" i="14" s="1"/>
  <c r="BI20" i="14" s="1"/>
  <c r="AB24" i="37"/>
  <c r="AB20" i="37" s="1"/>
  <c r="AC24" i="37"/>
  <c r="AD24" i="37"/>
  <c r="BL24" i="14" s="1"/>
  <c r="BL20" i="14" s="1"/>
  <c r="AE24" i="37"/>
  <c r="BM24" i="14" s="1"/>
  <c r="BM20" i="14" s="1"/>
  <c r="AF24" i="37"/>
  <c r="AF20" i="37" s="1"/>
  <c r="AU43" i="14"/>
  <c r="AW43" i="14"/>
  <c r="AX43" i="14"/>
  <c r="AY43" i="14"/>
  <c r="AA32" i="36"/>
  <c r="AW38" i="14"/>
  <c r="AW32" i="14" s="1"/>
  <c r="AX38" i="14"/>
  <c r="AX32" i="14" s="1"/>
  <c r="AB31" i="36"/>
  <c r="AV31" i="14" s="1"/>
  <c r="AV25" i="14" s="1"/>
  <c r="AD31" i="36"/>
  <c r="AE31" i="36"/>
  <c r="AY25" i="14" s="1"/>
  <c r="AF31" i="36"/>
  <c r="AZ25" i="14" s="1"/>
  <c r="AB23" i="36"/>
  <c r="AC23" i="36"/>
  <c r="AD23" i="36"/>
  <c r="AD20" i="36" s="1"/>
  <c r="AE23" i="36"/>
  <c r="AE20" i="36" s="1"/>
  <c r="AF23" i="36"/>
  <c r="AA41" i="35"/>
  <c r="AA40" i="35" s="1"/>
  <c r="AJ41" i="14"/>
  <c r="AF41" i="35"/>
  <c r="AN41" i="35" s="1"/>
  <c r="AA36" i="35"/>
  <c r="AB36" i="35"/>
  <c r="AB32" i="35" s="1"/>
  <c r="AC36" i="35"/>
  <c r="AI36" i="14" s="1"/>
  <c r="AI32" i="14" s="1"/>
  <c r="AD36" i="35"/>
  <c r="AJ36" i="14" s="1"/>
  <c r="AJ32" i="14" s="1"/>
  <c r="AF36" i="35"/>
  <c r="AF32" i="35" s="1"/>
  <c r="AA28" i="35"/>
  <c r="AB28" i="35"/>
  <c r="AD28" i="35"/>
  <c r="AE28" i="35"/>
  <c r="AF28" i="35"/>
  <c r="AA27" i="35"/>
  <c r="AD27" i="35"/>
  <c r="AE27" i="35"/>
  <c r="AF27" i="35"/>
  <c r="AA35" i="31"/>
  <c r="S35" i="14" s="1"/>
  <c r="AB35" i="31"/>
  <c r="AC35" i="31"/>
  <c r="U35" i="14" s="1"/>
  <c r="AD35" i="31"/>
  <c r="V35" i="14" s="1"/>
  <c r="AF35" i="31"/>
  <c r="X35" i="14" s="1"/>
  <c r="X32" i="14" s="1"/>
  <c r="AB25" i="31"/>
  <c r="AD26" i="31"/>
  <c r="AD25" i="31" s="1"/>
  <c r="AD19" i="31" s="1"/>
  <c r="AD18" i="31" s="1"/>
  <c r="AE25" i="31"/>
  <c r="AF25" i="31"/>
  <c r="AG32" i="37"/>
  <c r="AF32" i="37"/>
  <c r="AD32" i="37"/>
  <c r="AC32" i="37"/>
  <c r="Y32" i="37"/>
  <c r="X32" i="37"/>
  <c r="W32" i="37"/>
  <c r="V32" i="37"/>
  <c r="U32" i="37"/>
  <c r="T32" i="37"/>
  <c r="S32" i="37"/>
  <c r="R32" i="37"/>
  <c r="Q32" i="37"/>
  <c r="P32" i="37"/>
  <c r="O32" i="37"/>
  <c r="M32" i="37"/>
  <c r="L32" i="37"/>
  <c r="K32" i="37"/>
  <c r="J32" i="37"/>
  <c r="I32" i="37"/>
  <c r="H32" i="37"/>
  <c r="G32" i="37"/>
  <c r="F32" i="37"/>
  <c r="E32" i="37"/>
  <c r="AB32" i="37"/>
  <c r="N32" i="37"/>
  <c r="AG20" i="37"/>
  <c r="AE20" i="37"/>
  <c r="AD20" i="37"/>
  <c r="AA20" i="37"/>
  <c r="M17" i="37"/>
  <c r="AF32" i="36"/>
  <c r="AD32" i="36"/>
  <c r="AB32" i="36"/>
  <c r="AG32" i="36"/>
  <c r="AG25" i="36"/>
  <c r="AF25" i="36"/>
  <c r="AB25" i="36"/>
  <c r="D25" i="36"/>
  <c r="AG20" i="36"/>
  <c r="AF20" i="36"/>
  <c r="AB20" i="36"/>
  <c r="AG32" i="35"/>
  <c r="AD32" i="35"/>
  <c r="AD25" i="35"/>
  <c r="AB25" i="35"/>
  <c r="AD32" i="31"/>
  <c r="AG32" i="31"/>
  <c r="E20" i="14"/>
  <c r="F20" i="14"/>
  <c r="G20" i="14"/>
  <c r="H20" i="14"/>
  <c r="J20" i="14"/>
  <c r="AC32" i="31"/>
  <c r="AG25" i="31"/>
  <c r="AJ25" i="31"/>
  <c r="F21" i="10"/>
  <c r="F20" i="10" s="1"/>
  <c r="G21" i="10"/>
  <c r="G20" i="10" s="1"/>
  <c r="H21" i="10"/>
  <c r="H20" i="10" s="1"/>
  <c r="I21" i="10"/>
  <c r="I20" i="10" s="1"/>
  <c r="J21" i="10"/>
  <c r="J20" i="10" s="1"/>
  <c r="K21" i="10"/>
  <c r="K20" i="10" s="1"/>
  <c r="L21" i="10"/>
  <c r="L20" i="10" s="1"/>
  <c r="M21" i="10"/>
  <c r="M20" i="10" s="1"/>
  <c r="N21" i="10"/>
  <c r="N20" i="10" s="1"/>
  <c r="O21" i="10"/>
  <c r="O20" i="10" s="1"/>
  <c r="P21" i="10"/>
  <c r="P20" i="10" s="1"/>
  <c r="Q21" i="10"/>
  <c r="Q20" i="10" s="1"/>
  <c r="R21" i="10"/>
  <c r="R20" i="10" s="1"/>
  <c r="S21" i="10"/>
  <c r="S20" i="10" s="1"/>
  <c r="T20" i="10"/>
  <c r="T19" i="10" s="1"/>
  <c r="V20" i="10"/>
  <c r="W20" i="10"/>
  <c r="X20" i="10"/>
  <c r="Y20" i="10"/>
  <c r="Z20" i="10"/>
  <c r="BS20" i="10"/>
  <c r="BS19" i="10" s="1"/>
  <c r="BT20" i="10"/>
  <c r="BV20" i="10"/>
  <c r="BW20" i="10"/>
  <c r="BW19" i="10" s="1"/>
  <c r="BX20" i="10"/>
  <c r="BX19" i="10" s="1"/>
  <c r="CH20" i="10"/>
  <c r="CH19" i="10" s="1"/>
  <c r="CH18" i="10" s="1"/>
  <c r="CI20" i="10"/>
  <c r="CI19" i="10" s="1"/>
  <c r="CI18" i="10" s="1"/>
  <c r="CJ20" i="10"/>
  <c r="CJ19" i="10" s="1"/>
  <c r="CJ18" i="10" s="1"/>
  <c r="CK20" i="10"/>
  <c r="CK19" i="10" s="1"/>
  <c r="CK18" i="10" s="1"/>
  <c r="CL20" i="10"/>
  <c r="CM20" i="10"/>
  <c r="CM19" i="10" s="1"/>
  <c r="CM18" i="10" s="1"/>
  <c r="CN20" i="10"/>
  <c r="CN19" i="10" s="1"/>
  <c r="CN18" i="10" s="1"/>
  <c r="CP20" i="10"/>
  <c r="CP19" i="10" s="1"/>
  <c r="CP18" i="10" s="1"/>
  <c r="CQ20" i="10"/>
  <c r="CQ19" i="10" s="1"/>
  <c r="CQ18" i="10" s="1"/>
  <c r="CR20" i="10"/>
  <c r="CR19" i="10" s="1"/>
  <c r="CR18" i="10" s="1"/>
  <c r="CS20" i="10"/>
  <c r="CS19" i="10" s="1"/>
  <c r="CS18" i="10" s="1"/>
  <c r="CT20" i="10"/>
  <c r="CU20" i="10"/>
  <c r="CU19" i="10" s="1"/>
  <c r="CU18" i="10" s="1"/>
  <c r="CV20" i="10"/>
  <c r="CV19" i="10" s="1"/>
  <c r="CV18" i="10" s="1"/>
  <c r="DD20" i="10"/>
  <c r="DD19" i="10" s="1"/>
  <c r="DL20" i="10"/>
  <c r="DL19" i="10" s="1"/>
  <c r="AM25" i="10"/>
  <c r="AN26" i="10"/>
  <c r="AN25" i="10" s="1"/>
  <c r="AN19" i="10" s="1"/>
  <c r="AN18" i="10" s="1"/>
  <c r="AP25" i="10"/>
  <c r="AQ25" i="10"/>
  <c r="AZ25" i="10"/>
  <c r="BB25" i="10"/>
  <c r="BC25" i="10"/>
  <c r="BD26" i="10"/>
  <c r="BD25" i="10" s="1"/>
  <c r="BD19" i="10" s="1"/>
  <c r="BD18" i="10" s="1"/>
  <c r="BP25" i="10"/>
  <c r="BS25" i="10"/>
  <c r="BT26" i="10"/>
  <c r="BT25" i="10" s="1"/>
  <c r="BT19" i="10" s="1"/>
  <c r="BT18" i="10" s="1"/>
  <c r="BV25" i="10"/>
  <c r="BW25" i="10"/>
  <c r="BX25" i="10"/>
  <c r="CC25" i="10"/>
  <c r="CD25" i="10"/>
  <c r="CE25" i="10"/>
  <c r="CF25" i="10"/>
  <c r="DJ25" i="10"/>
  <c r="DL25" i="10"/>
  <c r="AQ32" i="10"/>
  <c r="BB32" i="10"/>
  <c r="BC32" i="10"/>
  <c r="BD32" i="10"/>
  <c r="BE32" i="10"/>
  <c r="BF33" i="10"/>
  <c r="BF32" i="10" s="1"/>
  <c r="BF19" i="10" s="1"/>
  <c r="BF18" i="10" s="1"/>
  <c r="BG32" i="10"/>
  <c r="BH32" i="10"/>
  <c r="BJ32" i="10"/>
  <c r="BK32" i="10"/>
  <c r="BL32" i="10"/>
  <c r="BM32" i="10"/>
  <c r="BO32" i="10"/>
  <c r="BP32" i="10"/>
  <c r="BR32" i="10"/>
  <c r="BS32" i="10"/>
  <c r="BT32" i="10"/>
  <c r="BU32" i="10"/>
  <c r="BV33" i="10"/>
  <c r="BV32" i="10" s="1"/>
  <c r="BV19" i="10" s="1"/>
  <c r="BV18" i="10" s="1"/>
  <c r="BW32" i="10"/>
  <c r="BX32" i="10"/>
  <c r="CH32" i="10"/>
  <c r="CI32" i="10"/>
  <c r="CJ32" i="10"/>
  <c r="CK32" i="10"/>
  <c r="CL33" i="10"/>
  <c r="CL32" i="10" s="1"/>
  <c r="CL19" i="10" s="1"/>
  <c r="CL18" i="10" s="1"/>
  <c r="CM32" i="10"/>
  <c r="CN32" i="10"/>
  <c r="CU32" i="10"/>
  <c r="CV32" i="10"/>
  <c r="CX32" i="10"/>
  <c r="CY32" i="10"/>
  <c r="DD32" i="10"/>
  <c r="DF32" i="10"/>
  <c r="DG32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BG40" i="10"/>
  <c r="BG18" i="10" s="1"/>
  <c r="BW40" i="10"/>
  <c r="BW18" i="10" s="1"/>
  <c r="AP35" i="10"/>
  <c r="Z34" i="10"/>
  <c r="AM36" i="35" l="1"/>
  <c r="AD19" i="36"/>
  <c r="AD18" i="36" s="1"/>
  <c r="AF40" i="35"/>
  <c r="AF18" i="35" s="1"/>
  <c r="U26" i="14"/>
  <c r="U25" i="14" s="1"/>
  <c r="U19" i="14" s="1"/>
  <c r="U18" i="14" s="1"/>
  <c r="U17" i="14" s="1"/>
  <c r="AK27" i="31"/>
  <c r="AK26" i="31" s="1"/>
  <c r="AK25" i="31" s="1"/>
  <c r="AK19" i="31" s="1"/>
  <c r="AK18" i="31" s="1"/>
  <c r="AC26" i="36"/>
  <c r="AC25" i="36" s="1"/>
  <c r="AC19" i="36" s="1"/>
  <c r="AC18" i="36" s="1"/>
  <c r="AK26" i="36"/>
  <c r="AK25" i="36" s="1"/>
  <c r="AK19" i="36" s="1"/>
  <c r="AK18" i="36" s="1"/>
  <c r="BU18" i="10"/>
  <c r="BU17" i="10" s="1"/>
  <c r="AC26" i="31"/>
  <c r="AC25" i="31" s="1"/>
  <c r="AC19" i="31" s="1"/>
  <c r="AC18" i="31" s="1"/>
  <c r="AC17" i="31" s="1"/>
  <c r="AX23" i="14"/>
  <c r="AX20" i="14" s="1"/>
  <c r="AL23" i="36"/>
  <c r="DB34" i="10"/>
  <c r="Z33" i="10"/>
  <c r="Z32" i="10" s="1"/>
  <c r="Z19" i="10" s="1"/>
  <c r="Z18" i="10" s="1"/>
  <c r="Z17" i="10" s="1"/>
  <c r="AK27" i="35"/>
  <c r="AM33" i="36"/>
  <c r="AM32" i="36" s="1"/>
  <c r="AM35" i="31"/>
  <c r="DB35" i="10"/>
  <c r="V27" i="14"/>
  <c r="V19" i="14" s="1"/>
  <c r="V18" i="14" s="1"/>
  <c r="V17" i="14" s="1"/>
  <c r="AL27" i="31"/>
  <c r="AL26" i="31" s="1"/>
  <c r="AL25" i="31" s="1"/>
  <c r="AL19" i="31" s="1"/>
  <c r="AL18" i="31" s="1"/>
  <c r="BU16" i="15"/>
  <c r="CA16" i="15"/>
  <c r="BY16" i="15"/>
  <c r="BH16" i="15"/>
  <c r="AZ16" i="15"/>
  <c r="BB25" i="15"/>
  <c r="CX31" i="15"/>
  <c r="CB16" i="15"/>
  <c r="BI16" i="15"/>
  <c r="BM16" i="15"/>
  <c r="BS17" i="14"/>
  <c r="AQ17" i="14"/>
  <c r="AE17" i="14"/>
  <c r="O17" i="14"/>
  <c r="S17" i="37"/>
  <c r="G17" i="37"/>
  <c r="W17" i="37"/>
  <c r="Q17" i="37"/>
  <c r="Y17" i="37"/>
  <c r="J17" i="37"/>
  <c r="N17" i="37"/>
  <c r="AL20" i="37"/>
  <c r="E17" i="37"/>
  <c r="T17" i="37"/>
  <c r="V17" i="37"/>
  <c r="X17" i="37"/>
  <c r="U17" i="37"/>
  <c r="D17" i="37"/>
  <c r="H17" i="37"/>
  <c r="P17" i="37"/>
  <c r="L17" i="37"/>
  <c r="I17" i="37"/>
  <c r="AI26" i="14"/>
  <c r="AI25" i="14" s="1"/>
  <c r="AI19" i="14" s="1"/>
  <c r="AI18" i="14" s="1"/>
  <c r="AN32" i="35"/>
  <c r="D17" i="31"/>
  <c r="AK32" i="31"/>
  <c r="G17" i="31"/>
  <c r="W17" i="31"/>
  <c r="AN32" i="37"/>
  <c r="H17" i="14"/>
  <c r="CZ25" i="10"/>
  <c r="CZ19" i="10" s="1"/>
  <c r="CZ18" i="10" s="1"/>
  <c r="AC19" i="35"/>
  <c r="AC18" i="35" s="1"/>
  <c r="AN20" i="37"/>
  <c r="DB20" i="10"/>
  <c r="DC40" i="10"/>
  <c r="DC18" i="10" s="1"/>
  <c r="DC25" i="10"/>
  <c r="DC32" i="10"/>
  <c r="AA32" i="31"/>
  <c r="AN32" i="31"/>
  <c r="AK32" i="35"/>
  <c r="AM25" i="36"/>
  <c r="AK32" i="36"/>
  <c r="CZ32" i="10"/>
  <c r="G17" i="14"/>
  <c r="AF32" i="31"/>
  <c r="AF17" i="31" s="1"/>
  <c r="AC32" i="35"/>
  <c r="AC20" i="37"/>
  <c r="AC17" i="37" s="1"/>
  <c r="AK25" i="14"/>
  <c r="AG25" i="14"/>
  <c r="DA32" i="10"/>
  <c r="AI32" i="31"/>
  <c r="AM25" i="31"/>
  <c r="AC20" i="36"/>
  <c r="AE25" i="36"/>
  <c r="AC32" i="36"/>
  <c r="AL32" i="37"/>
  <c r="AJ25" i="14"/>
  <c r="AJ17" i="14" s="1"/>
  <c r="AA15" i="8"/>
  <c r="U15" i="8"/>
  <c r="O15" i="8"/>
  <c r="Z15" i="8"/>
  <c r="T15" i="8"/>
  <c r="L15" i="8"/>
  <c r="Y15" i="8"/>
  <c r="DB25" i="10"/>
  <c r="CL17" i="10"/>
  <c r="X15" i="8"/>
  <c r="AM19" i="31"/>
  <c r="AM18" i="31" s="1"/>
  <c r="W15" i="8"/>
  <c r="Q15" i="8"/>
  <c r="AP33" i="10"/>
  <c r="AP32" i="10" s="1"/>
  <c r="AB15" i="8"/>
  <c r="V15" i="8"/>
  <c r="BV17" i="10"/>
  <c r="DL17" i="10"/>
  <c r="CS17" i="10"/>
  <c r="CM17" i="10"/>
  <c r="CF17" i="10"/>
  <c r="BT17" i="10"/>
  <c r="BM17" i="10"/>
  <c r="BG17" i="10"/>
  <c r="AU17" i="10"/>
  <c r="AB17" i="10"/>
  <c r="V17" i="10"/>
  <c r="O19" i="10"/>
  <c r="O18" i="10" s="1"/>
  <c r="O17" i="10" s="1"/>
  <c r="I19" i="10"/>
  <c r="I18" i="10" s="1"/>
  <c r="I17" i="10" s="1"/>
  <c r="E17" i="14"/>
  <c r="AI32" i="36"/>
  <c r="CR17" i="10"/>
  <c r="BS17" i="10"/>
  <c r="BF17" i="10"/>
  <c r="AZ17" i="10"/>
  <c r="AN17" i="10"/>
  <c r="AG17" i="10"/>
  <c r="AA17" i="10"/>
  <c r="T17" i="10"/>
  <c r="N19" i="10"/>
  <c r="N18" i="10" s="1"/>
  <c r="N17" i="10" s="1"/>
  <c r="H19" i="10"/>
  <c r="H18" i="10" s="1"/>
  <c r="H17" i="10" s="1"/>
  <c r="O17" i="31"/>
  <c r="J17" i="14"/>
  <c r="CQ17" i="10"/>
  <c r="CK17" i="10"/>
  <c r="BX17" i="10"/>
  <c r="BK17" i="10"/>
  <c r="BE17" i="10"/>
  <c r="AY17" i="10"/>
  <c r="AM17" i="10"/>
  <c r="AF17" i="10"/>
  <c r="S19" i="10"/>
  <c r="S18" i="10" s="1"/>
  <c r="S17" i="10" s="1"/>
  <c r="M19" i="10"/>
  <c r="M18" i="10" s="1"/>
  <c r="M17" i="10" s="1"/>
  <c r="G19" i="10"/>
  <c r="G18" i="10" s="1"/>
  <c r="G17" i="10" s="1"/>
  <c r="AL32" i="36"/>
  <c r="CV17" i="10"/>
  <c r="CP17" i="10"/>
  <c r="CJ17" i="10"/>
  <c r="BW17" i="10"/>
  <c r="BP17" i="10"/>
  <c r="BJ17" i="10"/>
  <c r="BD17" i="10"/>
  <c r="AX17" i="10"/>
  <c r="AR17" i="10"/>
  <c r="AE17" i="10"/>
  <c r="Y17" i="10"/>
  <c r="R19" i="10"/>
  <c r="R18" i="10" s="1"/>
  <c r="R17" i="10" s="1"/>
  <c r="L19" i="10"/>
  <c r="L18" i="10" s="1"/>
  <c r="L17" i="10" s="1"/>
  <c r="F19" i="10"/>
  <c r="F18" i="10" s="1"/>
  <c r="F17" i="10" s="1"/>
  <c r="F17" i="14"/>
  <c r="AJ32" i="35"/>
  <c r="CU17" i="10"/>
  <c r="CI17" i="10"/>
  <c r="BC17" i="10"/>
  <c r="AW17" i="10"/>
  <c r="AQ17" i="10"/>
  <c r="AJ17" i="10"/>
  <c r="AD17" i="10"/>
  <c r="X17" i="10"/>
  <c r="Q19" i="10"/>
  <c r="Q18" i="10" s="1"/>
  <c r="Q17" i="10" s="1"/>
  <c r="K19" i="10"/>
  <c r="K18" i="10" s="1"/>
  <c r="K17" i="10" s="1"/>
  <c r="AL32" i="31"/>
  <c r="AG17" i="35"/>
  <c r="CN17" i="10"/>
  <c r="CH17" i="10"/>
  <c r="BH17" i="10"/>
  <c r="BB17" i="10"/>
  <c r="AI17" i="10"/>
  <c r="W17" i="10"/>
  <c r="P19" i="10"/>
  <c r="P18" i="10" s="1"/>
  <c r="P17" i="10" s="1"/>
  <c r="J19" i="10"/>
  <c r="J18" i="10" s="1"/>
  <c r="J17" i="10" s="1"/>
  <c r="AL32" i="35"/>
  <c r="AL17" i="35" s="1"/>
  <c r="AG17" i="36"/>
  <c r="AJ32" i="37"/>
  <c r="AJ32" i="31"/>
  <c r="AJ20" i="36"/>
  <c r="AJ32" i="36"/>
  <c r="AN17" i="14"/>
  <c r="AH25" i="14"/>
  <c r="AG36" i="14"/>
  <c r="AG32" i="14" s="1"/>
  <c r="AG41" i="14"/>
  <c r="AU23" i="14"/>
  <c r="AU20" i="14" s="1"/>
  <c r="AU38" i="14"/>
  <c r="AU32" i="14" s="1"/>
  <c r="BI39" i="14"/>
  <c r="BI32" i="14" s="1"/>
  <c r="BI17" i="14" s="1"/>
  <c r="AI20" i="37"/>
  <c r="AI32" i="35"/>
  <c r="AI32" i="37"/>
  <c r="AS17" i="14"/>
  <c r="X27" i="14"/>
  <c r="X25" i="14" s="1"/>
  <c r="X17" i="14" s="1"/>
  <c r="AL36" i="14"/>
  <c r="AL32" i="14" s="1"/>
  <c r="AL41" i="14"/>
  <c r="AL40" i="14" s="1"/>
  <c r="AL18" i="14" s="1"/>
  <c r="AZ20" i="14"/>
  <c r="AZ32" i="14"/>
  <c r="AZ43" i="14"/>
  <c r="AZ40" i="14" s="1"/>
  <c r="AZ18" i="14" s="1"/>
  <c r="BN20" i="14"/>
  <c r="BN17" i="14" s="1"/>
  <c r="CY31" i="15"/>
  <c r="F17" i="37"/>
  <c r="R17" i="37"/>
  <c r="AJ20" i="37"/>
  <c r="AN40" i="35"/>
  <c r="AN18" i="35" s="1"/>
  <c r="AN40" i="36"/>
  <c r="AN18" i="36" s="1"/>
  <c r="BR17" i="14"/>
  <c r="N17" i="14"/>
  <c r="W27" i="14"/>
  <c r="W25" i="14" s="1"/>
  <c r="AL25" i="14"/>
  <c r="AK33" i="14"/>
  <c r="AK32" i="14" s="1"/>
  <c r="AK19" i="14" s="1"/>
  <c r="AK18" i="14" s="1"/>
  <c r="AK41" i="14"/>
  <c r="AY20" i="14"/>
  <c r="AY38" i="14"/>
  <c r="AY33" i="14" s="1"/>
  <c r="AY32" i="14" s="1"/>
  <c r="AY19" i="14" s="1"/>
  <c r="AY18" i="14" s="1"/>
  <c r="BM39" i="14"/>
  <c r="BM33" i="14" s="1"/>
  <c r="BM32" i="14" s="1"/>
  <c r="BT16" i="15"/>
  <c r="BA16" i="15"/>
  <c r="AM19" i="35"/>
  <c r="AM18" i="35" s="1"/>
  <c r="AM32" i="37"/>
  <c r="AM19" i="37" s="1"/>
  <c r="AM18" i="37" s="1"/>
  <c r="BQ17" i="14"/>
  <c r="M17" i="14"/>
  <c r="AX31" i="14"/>
  <c r="DC31" i="15"/>
  <c r="AM20" i="37"/>
  <c r="AG17" i="37"/>
  <c r="BV17" i="14"/>
  <c r="BP17" i="14"/>
  <c r="AD17" i="14"/>
  <c r="L17" i="14"/>
  <c r="AI41" i="14"/>
  <c r="AW23" i="14"/>
  <c r="AW20" i="14" s="1"/>
  <c r="AW26" i="14"/>
  <c r="AW25" i="14" s="1"/>
  <c r="AW19" i="14" s="1"/>
  <c r="AW18" i="14" s="1"/>
  <c r="BK24" i="14"/>
  <c r="BK20" i="14" s="1"/>
  <c r="BK17" i="14" s="1"/>
  <c r="DB32" i="15"/>
  <c r="DB31" i="15" s="1"/>
  <c r="CW31" i="15"/>
  <c r="AK32" i="37"/>
  <c r="AK20" i="36"/>
  <c r="BU17" i="14"/>
  <c r="AO17" i="14"/>
  <c r="AC17" i="14"/>
  <c r="Q17" i="14"/>
  <c r="T27" i="14"/>
  <c r="T25" i="14" s="1"/>
  <c r="T35" i="14"/>
  <c r="AH36" i="14"/>
  <c r="AH32" i="14" s="1"/>
  <c r="AH41" i="14"/>
  <c r="AV23" i="14"/>
  <c r="AV20" i="14" s="1"/>
  <c r="AV38" i="14"/>
  <c r="AV32" i="14" s="1"/>
  <c r="AV43" i="14"/>
  <c r="BJ24" i="14"/>
  <c r="BJ20" i="14" s="1"/>
  <c r="BJ17" i="14" s="1"/>
  <c r="BG16" i="15"/>
  <c r="BQ16" i="15"/>
  <c r="BW16" i="15"/>
  <c r="BS16" i="15"/>
  <c r="BK16" i="15"/>
  <c r="BL17" i="14"/>
  <c r="AD17" i="37"/>
  <c r="AA32" i="37"/>
  <c r="AA17" i="37" s="1"/>
  <c r="AE33" i="37"/>
  <c r="AE32" i="37" s="1"/>
  <c r="AF17" i="37"/>
  <c r="AB17" i="37"/>
  <c r="AK20" i="37"/>
  <c r="AM20" i="36"/>
  <c r="AN20" i="36"/>
  <c r="AN32" i="36"/>
  <c r="AF40" i="36"/>
  <c r="AF18" i="36" s="1"/>
  <c r="AD17" i="36"/>
  <c r="AJ25" i="36"/>
  <c r="AN25" i="36"/>
  <c r="AA32" i="35"/>
  <c r="AE19" i="35"/>
  <c r="AE18" i="35" s="1"/>
  <c r="AD17" i="35"/>
  <c r="AB17" i="35"/>
  <c r="AF25" i="35"/>
  <c r="AF17" i="35" s="1"/>
  <c r="AE25" i="35"/>
  <c r="AA25" i="35"/>
  <c r="AB32" i="31"/>
  <c r="AB17" i="31" s="1"/>
  <c r="AN25" i="31"/>
  <c r="O17" i="37"/>
  <c r="K17" i="37"/>
  <c r="AG17" i="31"/>
  <c r="AD17" i="31"/>
  <c r="K17" i="31"/>
  <c r="S17" i="31"/>
  <c r="E17" i="31"/>
  <c r="I17" i="31"/>
  <c r="M17" i="31"/>
  <c r="Q17" i="31"/>
  <c r="U17" i="31"/>
  <c r="Y17" i="31"/>
  <c r="L17" i="31"/>
  <c r="T17" i="31"/>
  <c r="H17" i="31"/>
  <c r="P17" i="31"/>
  <c r="X17" i="31"/>
  <c r="F17" i="31"/>
  <c r="J17" i="31"/>
  <c r="N17" i="31"/>
  <c r="R17" i="31"/>
  <c r="V17" i="31"/>
  <c r="AK19" i="35" l="1"/>
  <c r="AK18" i="35" s="1"/>
  <c r="AK17" i="35" s="1"/>
  <c r="I33" i="14"/>
  <c r="I32" i="14" s="1"/>
  <c r="I19" i="14" s="1"/>
  <c r="I18" i="14" s="1"/>
  <c r="I17" i="14" s="1"/>
  <c r="W33" i="14"/>
  <c r="W32" i="14" s="1"/>
  <c r="AE19" i="37"/>
  <c r="AE18" i="37" s="1"/>
  <c r="AE17" i="37" s="1"/>
  <c r="AP19" i="10"/>
  <c r="AP18" i="10" s="1"/>
  <c r="AP17" i="10" s="1"/>
  <c r="BM19" i="14"/>
  <c r="BM18" i="14" s="1"/>
  <c r="BM17" i="14" s="1"/>
  <c r="AX19" i="14"/>
  <c r="AX18" i="14" s="1"/>
  <c r="AX17" i="14" s="1"/>
  <c r="AE19" i="31"/>
  <c r="AE18" i="31" s="1"/>
  <c r="AE17" i="31" s="1"/>
  <c r="BB24" i="15"/>
  <c r="AN17" i="37"/>
  <c r="AL17" i="37"/>
  <c r="AM17" i="37"/>
  <c r="AW17" i="14"/>
  <c r="AJ17" i="36"/>
  <c r="AY17" i="14"/>
  <c r="AN17" i="35"/>
  <c r="AC17" i="35"/>
  <c r="AJ17" i="35"/>
  <c r="AI17" i="14"/>
  <c r="AG17" i="14"/>
  <c r="AK17" i="31"/>
  <c r="AJ17" i="31"/>
  <c r="AI17" i="37"/>
  <c r="AV17" i="14"/>
  <c r="T17" i="14"/>
  <c r="AL17" i="31"/>
  <c r="AN17" i="31"/>
  <c r="AE17" i="35"/>
  <c r="AZ17" i="14"/>
  <c r="AC17" i="36"/>
  <c r="AI17" i="35"/>
  <c r="AL17" i="14"/>
  <c r="DB33" i="10"/>
  <c r="DB32" i="10" s="1"/>
  <c r="AJ17" i="37"/>
  <c r="AM17" i="31"/>
  <c r="AN17" i="36"/>
  <c r="AA17" i="35"/>
  <c r="AK17" i="36"/>
  <c r="AK17" i="14"/>
  <c r="AM17" i="35"/>
  <c r="AK17" i="37"/>
  <c r="AB17" i="36"/>
  <c r="AH17" i="14"/>
  <c r="AF17" i="36"/>
  <c r="N37" i="8"/>
  <c r="N36" i="8"/>
  <c r="N34" i="8"/>
  <c r="N33" i="8"/>
  <c r="N32" i="8"/>
  <c r="N25" i="8"/>
  <c r="N29" i="8"/>
  <c r="H41" i="8"/>
  <c r="H39" i="8"/>
  <c r="H33" i="8"/>
  <c r="H34" i="8"/>
  <c r="H36" i="8"/>
  <c r="H37" i="8"/>
  <c r="H32" i="8"/>
  <c r="H26" i="8"/>
  <c r="H27" i="8"/>
  <c r="H29" i="8"/>
  <c r="H25" i="8"/>
  <c r="E22" i="8"/>
  <c r="F22" i="8"/>
  <c r="H21" i="8"/>
  <c r="H22" i="8"/>
  <c r="D41" i="8"/>
  <c r="E41" i="8"/>
  <c r="F41" i="8"/>
  <c r="E39" i="8"/>
  <c r="F39" i="8"/>
  <c r="D39" i="8"/>
  <c r="E33" i="8"/>
  <c r="F33" i="8"/>
  <c r="E34" i="8"/>
  <c r="F34" i="8"/>
  <c r="E36" i="8"/>
  <c r="F36" i="8"/>
  <c r="E37" i="8"/>
  <c r="F37" i="8"/>
  <c r="E32" i="8"/>
  <c r="F32" i="8"/>
  <c r="E26" i="8"/>
  <c r="F26" i="8"/>
  <c r="E27" i="8"/>
  <c r="F27" i="8"/>
  <c r="E29" i="8"/>
  <c r="F29" i="8"/>
  <c r="E25" i="8"/>
  <c r="F25" i="8"/>
  <c r="D21" i="8"/>
  <c r="E21" i="8"/>
  <c r="F21" i="8"/>
  <c r="G21" i="8"/>
  <c r="E20" i="8"/>
  <c r="F20" i="8"/>
  <c r="G20" i="8"/>
  <c r="D20" i="8"/>
  <c r="G41" i="8"/>
  <c r="DB19" i="10" l="1"/>
  <c r="DB18" i="10" s="1"/>
  <c r="DB17" i="10" s="1"/>
  <c r="H38" i="8"/>
  <c r="AJ15" i="8"/>
  <c r="AH15" i="8"/>
  <c r="N31" i="8"/>
  <c r="N30" i="8" s="1"/>
  <c r="N19" i="8"/>
  <c r="N18" i="8" s="1"/>
  <c r="H19" i="8"/>
  <c r="H18" i="8" s="1"/>
  <c r="N24" i="8"/>
  <c r="N23" i="8" s="1"/>
  <c r="H24" i="8"/>
  <c r="H23" i="8" s="1"/>
  <c r="H31" i="8"/>
  <c r="H30" i="8" s="1"/>
  <c r="D20" i="30"/>
  <c r="D19" i="30" s="1"/>
  <c r="D18" i="30" s="1"/>
  <c r="N23" i="28"/>
  <c r="N19" i="28" s="1"/>
  <c r="N18" i="28" s="1"/>
  <c r="M23" i="28"/>
  <c r="M19" i="28" s="1"/>
  <c r="M18" i="28" s="1"/>
  <c r="L23" i="28"/>
  <c r="L19" i="28" s="1"/>
  <c r="L18" i="28" s="1"/>
  <c r="K23" i="28"/>
  <c r="K19" i="28" s="1"/>
  <c r="K18" i="28" s="1"/>
  <c r="J23" i="28"/>
  <c r="J19" i="28" s="1"/>
  <c r="J18" i="28" s="1"/>
  <c r="I24" i="28"/>
  <c r="I23" i="28" s="1"/>
  <c r="I19" i="28" s="1"/>
  <c r="I18" i="28" s="1"/>
  <c r="H24" i="28"/>
  <c r="H23" i="28" s="1"/>
  <c r="H19" i="28" s="1"/>
  <c r="H18" i="28" s="1"/>
  <c r="G24" i="28"/>
  <c r="G23" i="28" s="1"/>
  <c r="G19" i="28" s="1"/>
  <c r="G18" i="28" s="1"/>
  <c r="F24" i="28"/>
  <c r="F23" i="28" s="1"/>
  <c r="F19" i="28" s="1"/>
  <c r="F18" i="28" s="1"/>
  <c r="E24" i="28"/>
  <c r="E23" i="28" s="1"/>
  <c r="E19" i="28" s="1"/>
  <c r="E18" i="28" s="1"/>
  <c r="D24" i="28"/>
  <c r="D23" i="28" s="1"/>
  <c r="D19" i="28" s="1"/>
  <c r="D18" i="28" s="1"/>
  <c r="C23" i="28"/>
  <c r="W20" i="28"/>
  <c r="U20" i="28"/>
  <c r="T20" i="28"/>
  <c r="O20" i="28"/>
  <c r="M20" i="28"/>
  <c r="L20" i="28"/>
  <c r="K20" i="28"/>
  <c r="J20" i="28"/>
  <c r="I20" i="28"/>
  <c r="H20" i="28"/>
  <c r="G20" i="28"/>
  <c r="F20" i="28"/>
  <c r="E20" i="28"/>
  <c r="D20" i="28"/>
  <c r="C20" i="28"/>
  <c r="V20" i="28"/>
  <c r="N20" i="28"/>
  <c r="BB16" i="15" l="1"/>
  <c r="F17" i="28"/>
  <c r="D17" i="28"/>
  <c r="L17" i="28"/>
  <c r="U17" i="29"/>
  <c r="H17" i="28"/>
  <c r="W17" i="28"/>
  <c r="J17" i="28"/>
  <c r="K17" i="28"/>
  <c r="N17" i="8"/>
  <c r="K17" i="30"/>
  <c r="G17" i="28"/>
  <c r="V17" i="28"/>
  <c r="C17" i="28"/>
  <c r="O17" i="28"/>
  <c r="H17" i="8"/>
  <c r="H16" i="8" s="1"/>
  <c r="H15" i="8" s="1"/>
  <c r="N17" i="28"/>
  <c r="O17" i="30"/>
  <c r="G17" i="30"/>
  <c r="E17" i="30"/>
  <c r="I17" i="30"/>
  <c r="W17" i="30"/>
  <c r="F17" i="30"/>
  <c r="J17" i="30"/>
  <c r="N17" i="30"/>
  <c r="U17" i="30"/>
  <c r="H17" i="30"/>
  <c r="L17" i="30"/>
  <c r="T17" i="30"/>
  <c r="C17" i="30"/>
  <c r="M17" i="30"/>
  <c r="D17" i="30"/>
  <c r="G17" i="29"/>
  <c r="K17" i="29"/>
  <c r="W17" i="29"/>
  <c r="F17" i="29"/>
  <c r="J17" i="29"/>
  <c r="V17" i="29"/>
  <c r="E17" i="29"/>
  <c r="M17" i="29"/>
  <c r="I17" i="29"/>
  <c r="D17" i="29"/>
  <c r="H17" i="29"/>
  <c r="L17" i="29"/>
  <c r="T17" i="29"/>
  <c r="E17" i="28"/>
  <c r="I17" i="28"/>
  <c r="M17" i="28"/>
  <c r="T17" i="28"/>
  <c r="BP19" i="4" l="1"/>
  <c r="BP18" i="4" s="1"/>
  <c r="BQ19" i="4"/>
  <c r="BQ18" i="4" s="1"/>
  <c r="BQ17" i="4" s="1"/>
  <c r="BQ16" i="4" s="1"/>
  <c r="BQ15" i="4" s="1"/>
  <c r="BX18" i="4"/>
  <c r="AL24" i="4"/>
  <c r="AL23" i="4" s="1"/>
  <c r="AM24" i="4"/>
  <c r="AM23" i="4" s="1"/>
  <c r="AM17" i="4" s="1"/>
  <c r="AM16" i="4" s="1"/>
  <c r="AM15" i="4" s="1"/>
  <c r="AT23" i="4"/>
  <c r="BD23" i="4"/>
  <c r="AB31" i="4"/>
  <c r="AB30" i="4" s="1"/>
  <c r="AB17" i="4" s="1"/>
  <c r="AB16" i="4" s="1"/>
  <c r="AB15" i="4" s="1"/>
  <c r="AU23" i="4"/>
  <c r="P41" i="4"/>
  <c r="Q41" i="4" s="1"/>
  <c r="S41" i="4" s="1"/>
  <c r="P39" i="4"/>
  <c r="Q39" i="4" s="1"/>
  <c r="I41" i="4"/>
  <c r="I39" i="4"/>
  <c r="H19" i="4"/>
  <c r="H18" i="4" s="1"/>
  <c r="BZ19" i="4"/>
  <c r="BZ18" i="4" s="1"/>
  <c r="P22" i="4"/>
  <c r="Q22" i="4" s="1"/>
  <c r="I22" i="4"/>
  <c r="P21" i="4"/>
  <c r="Q21" i="4" s="1"/>
  <c r="P33" i="4"/>
  <c r="Q33" i="4" s="1"/>
  <c r="BW33" i="4" s="1"/>
  <c r="BZ33" i="4" s="1"/>
  <c r="P34" i="4"/>
  <c r="Q34" i="4" s="1"/>
  <c r="BW34" i="4" s="1"/>
  <c r="BZ34" i="4" s="1"/>
  <c r="P36" i="4"/>
  <c r="Q36" i="4" s="1"/>
  <c r="P37" i="4"/>
  <c r="Q37" i="4" s="1"/>
  <c r="P32" i="4"/>
  <c r="Q32" i="4" s="1"/>
  <c r="P25" i="4"/>
  <c r="H31" i="4"/>
  <c r="H30" i="4" s="1"/>
  <c r="I33" i="4"/>
  <c r="I34" i="4"/>
  <c r="I36" i="4"/>
  <c r="I37" i="4"/>
  <c r="I32" i="4"/>
  <c r="I21" i="4"/>
  <c r="R25" i="4"/>
  <c r="R26" i="4"/>
  <c r="S26" i="4" s="1"/>
  <c r="U26" i="4" s="1"/>
  <c r="AX26" i="4" s="1"/>
  <c r="CB26" i="4" s="1"/>
  <c r="P26" i="4"/>
  <c r="Q26" i="4" s="1"/>
  <c r="BW26" i="4" s="1"/>
  <c r="P27" i="4"/>
  <c r="Q27" i="4" s="1"/>
  <c r="BW27" i="4" s="1"/>
  <c r="P29" i="4"/>
  <c r="Q29" i="4" s="1"/>
  <c r="Q25" i="4"/>
  <c r="BW25" i="4" s="1"/>
  <c r="I26" i="4"/>
  <c r="I27" i="4"/>
  <c r="I29" i="4"/>
  <c r="I25" i="4"/>
  <c r="H24" i="4"/>
  <c r="H23" i="4" s="1"/>
  <c r="BA26" i="4" l="1"/>
  <c r="BA24" i="4" s="1"/>
  <c r="BA23" i="4" s="1"/>
  <c r="BA17" i="4" s="1"/>
  <c r="AX24" i="4"/>
  <c r="AX23" i="4" s="1"/>
  <c r="AX17" i="4" s="1"/>
  <c r="R24" i="4"/>
  <c r="R23" i="4" s="1"/>
  <c r="BW32" i="4"/>
  <c r="CB32" i="4" s="1"/>
  <c r="S32" i="4"/>
  <c r="BW37" i="4"/>
  <c r="BZ37" i="4" s="1"/>
  <c r="S37" i="4"/>
  <c r="U37" i="4" s="1"/>
  <c r="BW21" i="4"/>
  <c r="S21" i="4"/>
  <c r="BW36" i="4"/>
  <c r="BZ36" i="4" s="1"/>
  <c r="S36" i="4"/>
  <c r="U36" i="4" s="1"/>
  <c r="U41" i="4"/>
  <c r="BW29" i="4"/>
  <c r="S29" i="4"/>
  <c r="BW22" i="4"/>
  <c r="S22" i="4"/>
  <c r="U22" i="4" s="1"/>
  <c r="BW24" i="4"/>
  <c r="T39" i="4"/>
  <c r="BW39" i="4"/>
  <c r="T41" i="4"/>
  <c r="BC41" i="4" s="1"/>
  <c r="BW41" i="4"/>
  <c r="I19" i="4"/>
  <c r="I18" i="4" s="1"/>
  <c r="I38" i="4"/>
  <c r="P19" i="4"/>
  <c r="P18" i="4" s="1"/>
  <c r="H17" i="4"/>
  <c r="H16" i="4" s="1"/>
  <c r="P38" i="4"/>
  <c r="P31" i="4"/>
  <c r="P30" i="4" s="1"/>
  <c r="I31" i="4"/>
  <c r="I30" i="4" s="1"/>
  <c r="BM23" i="4"/>
  <c r="T27" i="4"/>
  <c r="AS27" i="4" s="1"/>
  <c r="AV27" i="4" s="1"/>
  <c r="BZ27" i="4" s="1"/>
  <c r="K27" i="8"/>
  <c r="AM27" i="8" s="1"/>
  <c r="T37" i="4"/>
  <c r="BM37" i="4" s="1"/>
  <c r="BR37" i="4" s="1"/>
  <c r="N32" i="20"/>
  <c r="K37" i="8"/>
  <c r="AM37" i="8" s="1"/>
  <c r="N39" i="8"/>
  <c r="Q38" i="4"/>
  <c r="Q31" i="4"/>
  <c r="Q30" i="4" s="1"/>
  <c r="Q24" i="4"/>
  <c r="Q23" i="4" s="1"/>
  <c r="N41" i="8"/>
  <c r="K41" i="8" s="1"/>
  <c r="AS39" i="4"/>
  <c r="T34" i="4"/>
  <c r="AS34" i="4" s="1"/>
  <c r="K34" i="8"/>
  <c r="AM34" i="8" s="1"/>
  <c r="T36" i="4"/>
  <c r="BC36" i="4" s="1"/>
  <c r="BH36" i="4" s="1"/>
  <c r="N31" i="20"/>
  <c r="K36" i="8"/>
  <c r="AM36" i="8" s="1"/>
  <c r="T25" i="4"/>
  <c r="T26" i="4"/>
  <c r="AS26" i="4" s="1"/>
  <c r="K26" i="8"/>
  <c r="AM26" i="8" s="1"/>
  <c r="T29" i="4"/>
  <c r="BC29" i="4" s="1"/>
  <c r="K29" i="8"/>
  <c r="AM29" i="8" s="1"/>
  <c r="T21" i="4"/>
  <c r="BC21" i="4" s="1"/>
  <c r="BH21" i="4" s="1"/>
  <c r="T32" i="4"/>
  <c r="Y32" i="4" s="1"/>
  <c r="AD32" i="4" s="1"/>
  <c r="AD31" i="4" s="1"/>
  <c r="AD30" i="4" s="1"/>
  <c r="AD17" i="4" s="1"/>
  <c r="AD16" i="4" s="1"/>
  <c r="AD15" i="4" s="1"/>
  <c r="T33" i="4"/>
  <c r="AI33" i="4" s="1"/>
  <c r="K33" i="8"/>
  <c r="AM33" i="8" s="1"/>
  <c r="T22" i="4"/>
  <c r="BH31" i="4" l="1"/>
  <c r="BH30" i="4" s="1"/>
  <c r="CB36" i="4"/>
  <c r="BH19" i="4"/>
  <c r="BH18" i="4" s="1"/>
  <c r="CB21" i="4"/>
  <c r="CB37" i="4"/>
  <c r="BR31" i="4"/>
  <c r="BR30" i="4" s="1"/>
  <c r="CB31" i="4"/>
  <c r="CB30" i="4" s="1"/>
  <c r="BG41" i="4"/>
  <c r="CA41" i="4" s="1"/>
  <c r="BH41" i="4"/>
  <c r="BF29" i="4"/>
  <c r="BH29" i="4"/>
  <c r="U32" i="4"/>
  <c r="U31" i="4" s="1"/>
  <c r="U30" i="4" s="1"/>
  <c r="S31" i="4"/>
  <c r="S30" i="4" s="1"/>
  <c r="U29" i="4"/>
  <c r="U24" i="4" s="1"/>
  <c r="U23" i="4" s="1"/>
  <c r="S24" i="4"/>
  <c r="S23" i="4" s="1"/>
  <c r="U21" i="4"/>
  <c r="BC38" i="4"/>
  <c r="T38" i="4"/>
  <c r="AI31" i="4"/>
  <c r="AI30" i="4" s="1"/>
  <c r="AL33" i="4"/>
  <c r="AV26" i="4"/>
  <c r="BZ26" i="4" s="1"/>
  <c r="BF36" i="4"/>
  <c r="BK36" i="4" s="1"/>
  <c r="BK31" i="4" s="1"/>
  <c r="BK30" i="4" s="1"/>
  <c r="AW39" i="4"/>
  <c r="AC32" i="4"/>
  <c r="AV34" i="4"/>
  <c r="BP37" i="4"/>
  <c r="BU37" i="4" s="1"/>
  <c r="BU31" i="4" s="1"/>
  <c r="BU30" i="4" s="1"/>
  <c r="BU17" i="4" s="1"/>
  <c r="BU16" i="4" s="1"/>
  <c r="BU15" i="4" s="1"/>
  <c r="BM22" i="4"/>
  <c r="BE21" i="4"/>
  <c r="D39" i="10"/>
  <c r="AK37" i="8"/>
  <c r="BC19" i="4"/>
  <c r="BC18" i="4" s="1"/>
  <c r="T31" i="4"/>
  <c r="T30" i="4" s="1"/>
  <c r="K25" i="8"/>
  <c r="AM25" i="8" s="1"/>
  <c r="D36" i="10"/>
  <c r="AG34" i="8"/>
  <c r="AS38" i="4"/>
  <c r="D43" i="10"/>
  <c r="AI41" i="8"/>
  <c r="BC31" i="4"/>
  <c r="BC30" i="4" s="1"/>
  <c r="BM31" i="4"/>
  <c r="BM30" i="4" s="1"/>
  <c r="D24" i="10"/>
  <c r="AK22" i="8"/>
  <c r="D31" i="10"/>
  <c r="AI29" i="8"/>
  <c r="D28" i="10"/>
  <c r="AG26" i="8"/>
  <c r="D21" i="20"/>
  <c r="N21" i="20"/>
  <c r="D38" i="10"/>
  <c r="AI36" i="8"/>
  <c r="N36" i="20"/>
  <c r="N38" i="8"/>
  <c r="N16" i="8" s="1"/>
  <c r="N15" i="8" s="1"/>
  <c r="K39" i="8"/>
  <c r="K38" i="8" s="1"/>
  <c r="D35" i="10"/>
  <c r="AE33" i="8"/>
  <c r="D28" i="20"/>
  <c r="D27" i="20" s="1"/>
  <c r="N29" i="20"/>
  <c r="N28" i="20" s="1"/>
  <c r="N27" i="20" s="1"/>
  <c r="D29" i="10"/>
  <c r="AG27" i="8"/>
  <c r="Y31" i="4"/>
  <c r="Y30" i="4" s="1"/>
  <c r="Y17" i="4" s="1"/>
  <c r="Y16" i="4" s="1"/>
  <c r="Y15" i="4" s="1"/>
  <c r="K32" i="8"/>
  <c r="AM32" i="8" s="1"/>
  <c r="AI25" i="4"/>
  <c r="T24" i="4"/>
  <c r="T23" i="4" s="1"/>
  <c r="AS31" i="4"/>
  <c r="AS30" i="4" s="1"/>
  <c r="BC24" i="4"/>
  <c r="BC23" i="4" s="1"/>
  <c r="D33" i="20"/>
  <c r="N34" i="20"/>
  <c r="BW38" i="4"/>
  <c r="AS24" i="4"/>
  <c r="AS23" i="4" s="1"/>
  <c r="BX25" i="4"/>
  <c r="CA25" i="4"/>
  <c r="CA24" i="4" s="1"/>
  <c r="CA23" i="4" s="1"/>
  <c r="CG24" i="10" l="1"/>
  <c r="AH24" i="37" s="1"/>
  <c r="CW24" i="10"/>
  <c r="BA28" i="10"/>
  <c r="AH27" i="35" s="1"/>
  <c r="CW28" i="10"/>
  <c r="BA29" i="10"/>
  <c r="AH28" i="35" s="1"/>
  <c r="CW29" i="10"/>
  <c r="BG38" i="4"/>
  <c r="BG16" i="4" s="1"/>
  <c r="BG15" i="4" s="1"/>
  <c r="AH32" i="4"/>
  <c r="AH31" i="4" s="1"/>
  <c r="AH30" i="4" s="1"/>
  <c r="AH17" i="4" s="1"/>
  <c r="AH16" i="4" s="1"/>
  <c r="AH15" i="4" s="1"/>
  <c r="CA32" i="4"/>
  <c r="CA31" i="4" s="1"/>
  <c r="CA30" i="4" s="1"/>
  <c r="BH24" i="4"/>
  <c r="BH23" i="4" s="1"/>
  <c r="BH17" i="4" s="1"/>
  <c r="CB29" i="4"/>
  <c r="CB24" i="4" s="1"/>
  <c r="CB23" i="4" s="1"/>
  <c r="F19" i="20"/>
  <c r="BR22" i="4"/>
  <c r="BH38" i="4"/>
  <c r="BH16" i="4" s="1"/>
  <c r="BH15" i="4" s="1"/>
  <c r="CB41" i="4"/>
  <c r="BY21" i="4"/>
  <c r="BJ21" i="4"/>
  <c r="BJ19" i="4" s="1"/>
  <c r="BJ18" i="4" s="1"/>
  <c r="BJ17" i="4" s="1"/>
  <c r="BJ16" i="4" s="1"/>
  <c r="BJ15" i="4" s="1"/>
  <c r="BF24" i="4"/>
  <c r="BF23" i="4" s="1"/>
  <c r="BZ29" i="4"/>
  <c r="BK29" i="4"/>
  <c r="BK24" i="4" s="1"/>
  <c r="BK23" i="4" s="1"/>
  <c r="BK17" i="4" s="1"/>
  <c r="BK16" i="4" s="1"/>
  <c r="BK15" i="4" s="1"/>
  <c r="BL41" i="4"/>
  <c r="BL38" i="4" s="1"/>
  <c r="BL16" i="4" s="1"/>
  <c r="BL15" i="4" s="1"/>
  <c r="BX24" i="4"/>
  <c r="BX23" i="4" s="1"/>
  <c r="AS17" i="4"/>
  <c r="AS16" i="4" s="1"/>
  <c r="AS15" i="4" s="1"/>
  <c r="BQ38" i="10"/>
  <c r="AH33" i="36" s="1"/>
  <c r="CW38" i="10"/>
  <c r="BQ43" i="10"/>
  <c r="CW43" i="10"/>
  <c r="CG39" i="10"/>
  <c r="CG33" i="10" s="1"/>
  <c r="CG32" i="10" s="1"/>
  <c r="CW39" i="10"/>
  <c r="BQ31" i="10"/>
  <c r="BQ26" i="10" s="1"/>
  <c r="BQ25" i="10" s="1"/>
  <c r="CW31" i="10"/>
  <c r="AK35" i="10"/>
  <c r="AK33" i="10" s="1"/>
  <c r="AK32" i="10" s="1"/>
  <c r="CW35" i="10"/>
  <c r="BA36" i="10"/>
  <c r="CW36" i="10"/>
  <c r="AW38" i="4"/>
  <c r="AW16" i="4" s="1"/>
  <c r="AW15" i="4" s="1"/>
  <c r="CA39" i="4"/>
  <c r="BM19" i="4"/>
  <c r="BM18" i="4" s="1"/>
  <c r="BM17" i="4" s="1"/>
  <c r="BM16" i="4" s="1"/>
  <c r="BM15" i="4" s="1"/>
  <c r="AV31" i="4"/>
  <c r="AV30" i="4" s="1"/>
  <c r="BF31" i="4"/>
  <c r="BF30" i="4" s="1"/>
  <c r="AL31" i="4"/>
  <c r="AL30" i="4" s="1"/>
  <c r="AL17" i="4" s="1"/>
  <c r="AL16" i="4" s="1"/>
  <c r="AL15" i="4" s="1"/>
  <c r="BP31" i="4"/>
  <c r="BP30" i="4" s="1"/>
  <c r="BP17" i="4" s="1"/>
  <c r="BP16" i="4" s="1"/>
  <c r="BP15" i="4" s="1"/>
  <c r="J28" i="20"/>
  <c r="J27" i="20" s="1"/>
  <c r="AC31" i="4"/>
  <c r="AC30" i="4" s="1"/>
  <c r="AC17" i="4" s="1"/>
  <c r="AC16" i="4" s="1"/>
  <c r="AC15" i="4" s="1"/>
  <c r="AV24" i="4"/>
  <c r="AV23" i="4" s="1"/>
  <c r="BW31" i="4"/>
  <c r="BW30" i="4" s="1"/>
  <c r="CA38" i="4"/>
  <c r="AK25" i="4"/>
  <c r="BO22" i="4"/>
  <c r="F28" i="20"/>
  <c r="F27" i="20" s="1"/>
  <c r="BE19" i="4"/>
  <c r="BE18" i="4" s="1"/>
  <c r="BE17" i="4" s="1"/>
  <c r="BE16" i="4" s="1"/>
  <c r="BE15" i="4" s="1"/>
  <c r="N33" i="20"/>
  <c r="AI31" i="8"/>
  <c r="AI30" i="8" s="1"/>
  <c r="AG24" i="8"/>
  <c r="AG23" i="8" s="1"/>
  <c r="AG17" i="8" s="1"/>
  <c r="AG15" i="8" s="1"/>
  <c r="AK18" i="8"/>
  <c r="BC17" i="4"/>
  <c r="BC16" i="4" s="1"/>
  <c r="BC15" i="4" s="1"/>
  <c r="D41" i="10"/>
  <c r="CW41" i="10" s="1"/>
  <c r="AI24" i="4"/>
  <c r="AI23" i="4" s="1"/>
  <c r="AI17" i="4" s="1"/>
  <c r="AI16" i="4" s="1"/>
  <c r="AI15" i="4" s="1"/>
  <c r="BW23" i="4"/>
  <c r="Q19" i="4"/>
  <c r="Q18" i="4" s="1"/>
  <c r="Q17" i="4" s="1"/>
  <c r="Q16" i="4" s="1"/>
  <c r="Q15" i="4" s="1"/>
  <c r="AE31" i="8"/>
  <c r="AE30" i="8" s="1"/>
  <c r="CG21" i="10"/>
  <c r="CG20" i="10" s="1"/>
  <c r="AK31" i="8"/>
  <c r="AK30" i="8" s="1"/>
  <c r="D34" i="10"/>
  <c r="CW34" i="10" s="1"/>
  <c r="K31" i="8"/>
  <c r="K30" i="8" s="1"/>
  <c r="AC32" i="8"/>
  <c r="AI24" i="8"/>
  <c r="AI23" i="8" s="1"/>
  <c r="AG31" i="8"/>
  <c r="AG30" i="8" s="1"/>
  <c r="K24" i="8"/>
  <c r="K23" i="8" s="1"/>
  <c r="D27" i="10"/>
  <c r="AE25" i="8"/>
  <c r="T20" i="4"/>
  <c r="T19" i="4" s="1"/>
  <c r="T18" i="4" s="1"/>
  <c r="T17" i="4" s="1"/>
  <c r="T16" i="4" s="1"/>
  <c r="T15" i="4" s="1"/>
  <c r="AH36" i="35" l="1"/>
  <c r="AH33" i="35" s="1"/>
  <c r="Z33" i="35"/>
  <c r="Z32" i="35" s="1"/>
  <c r="BA26" i="10"/>
  <c r="BA25" i="10" s="1"/>
  <c r="CG19" i="10"/>
  <c r="CG18" i="10" s="1"/>
  <c r="CG17" i="10" s="1"/>
  <c r="BO19" i="4"/>
  <c r="BO18" i="4" s="1"/>
  <c r="BO17" i="4" s="1"/>
  <c r="BO16" i="4" s="1"/>
  <c r="BO15" i="4" s="1"/>
  <c r="BT22" i="4"/>
  <c r="BT19" i="4" s="1"/>
  <c r="BT18" i="4" s="1"/>
  <c r="BT17" i="4" s="1"/>
  <c r="BT16" i="4" s="1"/>
  <c r="BT15" i="4" s="1"/>
  <c r="BF17" i="4"/>
  <c r="BF16" i="4" s="1"/>
  <c r="BF15" i="4" s="1"/>
  <c r="CB22" i="4"/>
  <c r="BR19" i="4"/>
  <c r="BR18" i="4" s="1"/>
  <c r="BR17" i="4" s="1"/>
  <c r="BR16" i="4" s="1"/>
  <c r="BR15" i="4" s="1"/>
  <c r="J33" i="20"/>
  <c r="J13" i="20" s="1"/>
  <c r="J12" i="20" s="1"/>
  <c r="BA33" i="10"/>
  <c r="BA32" i="10" s="1"/>
  <c r="BQ33" i="10"/>
  <c r="BQ32" i="10" s="1"/>
  <c r="BQ40" i="10"/>
  <c r="AH26" i="36"/>
  <c r="AH25" i="36" s="1"/>
  <c r="AH39" i="37"/>
  <c r="AH33" i="37" s="1"/>
  <c r="AH32" i="37" s="1"/>
  <c r="AH35" i="31"/>
  <c r="AH18" i="31" s="1"/>
  <c r="AH17" i="31" s="1"/>
  <c r="AV17" i="4"/>
  <c r="AV16" i="4" s="1"/>
  <c r="AV15" i="4" s="1"/>
  <c r="AK17" i="8"/>
  <c r="AK16" i="8" s="1"/>
  <c r="AK15" i="8" s="1"/>
  <c r="CW33" i="10"/>
  <c r="BY22" i="4"/>
  <c r="BY19" i="4" s="1"/>
  <c r="BY18" i="4" s="1"/>
  <c r="D26" i="10"/>
  <c r="CW27" i="10"/>
  <c r="BZ31" i="4"/>
  <c r="BZ30" i="4" s="1"/>
  <c r="I28" i="20"/>
  <c r="I27" i="20" s="1"/>
  <c r="AH21" i="37"/>
  <c r="AH20" i="37" s="1"/>
  <c r="Z21" i="37"/>
  <c r="Z20" i="37" s="1"/>
  <c r="AC31" i="8"/>
  <c r="AC30" i="8" s="1"/>
  <c r="AC17" i="8" s="1"/>
  <c r="AC16" i="8" s="1"/>
  <c r="AM31" i="8"/>
  <c r="AM30" i="8" s="1"/>
  <c r="AH40" i="36"/>
  <c r="Z40" i="36"/>
  <c r="U34" i="10"/>
  <c r="D33" i="10"/>
  <c r="D32" i="10" s="1"/>
  <c r="AG38" i="8"/>
  <c r="AM38" i="8"/>
  <c r="AE24" i="8"/>
  <c r="AE23" i="8" s="1"/>
  <c r="AM24" i="8"/>
  <c r="AM23" i="8" s="1"/>
  <c r="AH32" i="36"/>
  <c r="M19" i="8"/>
  <c r="M18" i="8" s="1"/>
  <c r="M17" i="8" s="1"/>
  <c r="BY25" i="4"/>
  <c r="BY24" i="4" s="1"/>
  <c r="BY23" i="4" s="1"/>
  <c r="AK24" i="4"/>
  <c r="AK23" i="4" s="1"/>
  <c r="AK17" i="4" s="1"/>
  <c r="AK16" i="4" s="1"/>
  <c r="AK15" i="4" s="1"/>
  <c r="AH32" i="35"/>
  <c r="D40" i="10"/>
  <c r="BA41" i="10"/>
  <c r="D16" i="20"/>
  <c r="N16" i="20"/>
  <c r="N15" i="20" s="1"/>
  <c r="Z26" i="35"/>
  <c r="Z25" i="35" s="1"/>
  <c r="AH19" i="36" l="1"/>
  <c r="AH18" i="36" s="1"/>
  <c r="AH17" i="36" s="1"/>
  <c r="BA19" i="10"/>
  <c r="Z19" i="35"/>
  <c r="AH19" i="35"/>
  <c r="Z33" i="37"/>
  <c r="Z32" i="37" s="1"/>
  <c r="Z19" i="37" s="1"/>
  <c r="Z18" i="37" s="1"/>
  <c r="Z17" i="37" s="1"/>
  <c r="M16" i="8"/>
  <c r="M15" i="8" s="1"/>
  <c r="Z26" i="36"/>
  <c r="Z25" i="36" s="1"/>
  <c r="AE17" i="8"/>
  <c r="AE16" i="8" s="1"/>
  <c r="AE15" i="8" s="1"/>
  <c r="AH19" i="37"/>
  <c r="AH18" i="37" s="1"/>
  <c r="AH17" i="37" s="1"/>
  <c r="BY17" i="4"/>
  <c r="BY16" i="4" s="1"/>
  <c r="BY15" i="4" s="1"/>
  <c r="D22" i="10"/>
  <c r="CW22" i="10" s="1"/>
  <c r="U33" i="10"/>
  <c r="U32" i="10" s="1"/>
  <c r="U19" i="10" s="1"/>
  <c r="U18" i="10" s="1"/>
  <c r="CW32" i="10"/>
  <c r="BA40" i="10"/>
  <c r="CW40" i="10"/>
  <c r="AH41" i="35"/>
  <c r="BW19" i="4"/>
  <c r="BW18" i="4" s="1"/>
  <c r="BW17" i="4" s="1"/>
  <c r="BW16" i="4" s="1"/>
  <c r="BW15" i="4" s="1"/>
  <c r="BA18" i="10" l="1"/>
  <c r="BA17" i="10" s="1"/>
  <c r="AH40" i="35"/>
  <c r="Z40" i="35"/>
  <c r="AC15" i="8"/>
  <c r="CA19" i="4"/>
  <c r="CA18" i="4" s="1"/>
  <c r="CY27" i="10"/>
  <c r="CY26" i="10" s="1"/>
  <c r="AL27" i="10"/>
  <c r="CA17" i="4" l="1"/>
  <c r="CA16" i="4" s="1"/>
  <c r="CA15" i="4" s="1"/>
  <c r="Z18" i="35"/>
  <c r="Z17" i="35" s="1"/>
  <c r="AH18" i="35"/>
  <c r="AH17" i="35" s="1"/>
  <c r="U20" i="10"/>
  <c r="U17" i="10" s="1"/>
  <c r="BZ25" i="4"/>
  <c r="BZ24" i="4" s="1"/>
  <c r="BZ23" i="4" s="1"/>
  <c r="BZ17" i="4" s="1"/>
  <c r="E16" i="15"/>
  <c r="F25" i="15"/>
  <c r="K16" i="15"/>
  <c r="M16" i="15"/>
  <c r="Q16" i="15"/>
  <c r="T16" i="15"/>
  <c r="U16" i="15"/>
  <c r="V16" i="15"/>
  <c r="W16" i="15"/>
  <c r="X16" i="15"/>
  <c r="Y16" i="15"/>
  <c r="AA16" i="15"/>
  <c r="AB16" i="15"/>
  <c r="AC16" i="15"/>
  <c r="AD16" i="15"/>
  <c r="AE16" i="15"/>
  <c r="AF16" i="15"/>
  <c r="AG16" i="15"/>
  <c r="AI16" i="15"/>
  <c r="AK16" i="15"/>
  <c r="AL25" i="15"/>
  <c r="AM16" i="15"/>
  <c r="AN16" i="15"/>
  <c r="AQ16" i="15"/>
  <c r="AY16" i="15"/>
  <c r="D16" i="15"/>
  <c r="P24" i="4"/>
  <c r="P23" i="4" s="1"/>
  <c r="P17" i="4" s="1"/>
  <c r="P16" i="4" s="1"/>
  <c r="P15" i="4" s="1"/>
  <c r="I24" i="4"/>
  <c r="I23" i="4" s="1"/>
  <c r="I17" i="4" s="1"/>
  <c r="I16" i="4" s="1"/>
  <c r="I15" i="4" s="1"/>
  <c r="AL24" i="15" l="1"/>
  <c r="I24" i="15"/>
  <c r="I16" i="15" s="1"/>
  <c r="F24" i="15"/>
  <c r="CK24" i="15"/>
  <c r="CK16" i="15" s="1"/>
  <c r="CG24" i="15"/>
  <c r="CG16" i="15" s="1"/>
  <c r="CJ24" i="15"/>
  <c r="CJ16" i="15" s="1"/>
  <c r="CF24" i="15"/>
  <c r="CF16" i="15" s="1"/>
  <c r="CM24" i="15"/>
  <c r="CM16" i="15" s="1"/>
  <c r="CI24" i="15"/>
  <c r="CI16" i="15" s="1"/>
  <c r="CL24" i="15"/>
  <c r="CL16" i="15" s="1"/>
  <c r="CH24" i="15"/>
  <c r="CH16" i="15" s="1"/>
  <c r="S27" i="14"/>
  <c r="D23" i="10"/>
  <c r="CW23" i="10" s="1"/>
  <c r="CW21" i="10" s="1"/>
  <c r="AI21" i="8"/>
  <c r="K19" i="8"/>
  <c r="K18" i="8" s="1"/>
  <c r="K17" i="8" s="1"/>
  <c r="K16" i="8" s="1"/>
  <c r="K15" i="8" s="1"/>
  <c r="F18" i="15" l="1"/>
  <c r="F17" i="15" s="1"/>
  <c r="F16" i="15" s="1"/>
  <c r="AO16" i="15"/>
  <c r="CP24" i="15"/>
  <c r="CP16" i="15" s="1"/>
  <c r="CQ24" i="15"/>
  <c r="CQ16" i="15" s="1"/>
  <c r="CR24" i="15"/>
  <c r="CR16" i="15" s="1"/>
  <c r="CO24" i="15"/>
  <c r="CO16" i="15" s="1"/>
  <c r="CS24" i="15"/>
  <c r="CS16" i="15" s="1"/>
  <c r="CN24" i="15"/>
  <c r="CN16" i="15" s="1"/>
  <c r="CT24" i="15"/>
  <c r="CU24" i="15"/>
  <c r="CU16" i="15" s="1"/>
  <c r="AI18" i="8"/>
  <c r="AI17" i="8" s="1"/>
  <c r="AI16" i="8" s="1"/>
  <c r="AI15" i="8" s="1"/>
  <c r="AM19" i="8"/>
  <c r="AM18" i="8" s="1"/>
  <c r="AM17" i="8" s="1"/>
  <c r="AM16" i="8" s="1"/>
  <c r="AM15" i="8" s="1"/>
  <c r="BQ23" i="10"/>
  <c r="D21" i="10"/>
  <c r="D20" i="10" s="1"/>
  <c r="BQ21" i="10" l="1"/>
  <c r="BQ20" i="10" s="1"/>
  <c r="AH23" i="36"/>
  <c r="Q20" i="20"/>
  <c r="Q14" i="20" s="1"/>
  <c r="Q13" i="20" s="1"/>
  <c r="AS16" i="15"/>
  <c r="AU16" i="15"/>
  <c r="AW16" i="15"/>
  <c r="AX16" i="15"/>
  <c r="BQ19" i="10" l="1"/>
  <c r="BQ18" i="10" s="1"/>
  <c r="BQ17" i="10" s="1"/>
  <c r="Z21" i="36"/>
  <c r="Z20" i="36" s="1"/>
  <c r="AH21" i="36"/>
  <c r="AV16" i="15"/>
  <c r="Z19" i="36" l="1"/>
  <c r="Z18" i="36" s="1"/>
  <c r="Z17" i="36" s="1"/>
  <c r="AK27" i="10"/>
  <c r="CW26" i="10" l="1"/>
  <c r="CW25" i="10" s="1"/>
  <c r="AH27" i="31"/>
  <c r="AH26" i="31" s="1"/>
  <c r="AK26" i="10"/>
  <c r="AK25" i="10" s="1"/>
  <c r="AK19" i="10" s="1"/>
  <c r="AK18" i="10" s="1"/>
  <c r="DC39" i="15"/>
  <c r="AH25" i="31" l="1"/>
  <c r="Z26" i="31"/>
  <c r="Z25" i="31" s="1"/>
  <c r="AC34" i="18"/>
  <c r="Z18" i="31" l="1"/>
  <c r="Z17" i="31" s="1"/>
  <c r="DK25" i="10" l="1"/>
  <c r="DI25" i="10"/>
  <c r="DG25" i="10"/>
  <c r="CY25" i="10"/>
  <c r="CX19" i="10"/>
  <c r="CX18" i="10" s="1"/>
  <c r="CX17" i="10" s="1"/>
  <c r="DC20" i="10"/>
  <c r="CZ20" i="10"/>
  <c r="CZ17" i="10" s="1"/>
  <c r="CY20" i="10"/>
  <c r="CY19" i="10" s="1"/>
  <c r="DC17" i="10" l="1"/>
  <c r="DC19" i="10"/>
  <c r="DA18" i="10"/>
  <c r="DA17" i="10" s="1"/>
  <c r="CY17" i="10"/>
  <c r="E17" i="8" l="1"/>
  <c r="D30" i="8" l="1"/>
  <c r="E30" i="8"/>
  <c r="F30" i="8"/>
  <c r="G30" i="8"/>
  <c r="D31" i="8"/>
  <c r="E31" i="8"/>
  <c r="F31" i="8"/>
  <c r="G31" i="8"/>
  <c r="D23" i="8"/>
  <c r="E23" i="8"/>
  <c r="F23" i="8"/>
  <c r="D24" i="8"/>
  <c r="E24" i="8"/>
  <c r="F24" i="8"/>
  <c r="D18" i="8"/>
  <c r="E18" i="8"/>
  <c r="F18" i="8"/>
  <c r="G18" i="8"/>
  <c r="D19" i="8"/>
  <c r="E19" i="8"/>
  <c r="F19" i="8"/>
  <c r="G19" i="8"/>
  <c r="G39" i="8"/>
  <c r="G16" i="8"/>
  <c r="F16" i="8"/>
  <c r="F15" i="8"/>
  <c r="G15" i="8"/>
  <c r="D15" i="8"/>
  <c r="E15" i="8"/>
  <c r="D16" i="8"/>
  <c r="E16" i="8"/>
  <c r="D17" i="8"/>
  <c r="D38" i="8"/>
  <c r="E38" i="8"/>
  <c r="C16" i="8"/>
  <c r="C17" i="8"/>
  <c r="C18" i="8"/>
  <c r="C19" i="8"/>
  <c r="C23" i="8"/>
  <c r="C24" i="8"/>
  <c r="C30" i="8"/>
  <c r="C31" i="8"/>
  <c r="C38" i="8"/>
  <c r="C15" i="8"/>
  <c r="R20" i="4"/>
  <c r="R19" i="4" s="1"/>
  <c r="R18" i="4" s="1"/>
  <c r="R17" i="4" s="1"/>
  <c r="Y38" i="4"/>
  <c r="Z38" i="4"/>
  <c r="R39" i="4"/>
  <c r="S39" i="4" l="1"/>
  <c r="R38" i="4"/>
  <c r="R16" i="4" s="1"/>
  <c r="R15" i="4" s="1"/>
  <c r="S20" i="4"/>
  <c r="AK17" i="10"/>
  <c r="CW20" i="10"/>
  <c r="CW19" i="10" s="1"/>
  <c r="K20" i="20"/>
  <c r="U20" i="4" l="1"/>
  <c r="S19" i="4"/>
  <c r="S18" i="4" s="1"/>
  <c r="S17" i="4" s="1"/>
  <c r="U39" i="4"/>
  <c r="AX39" i="4" s="1"/>
  <c r="CB39" i="4" s="1"/>
  <c r="CB38" i="4" s="1"/>
  <c r="S38" i="4"/>
  <c r="CW18" i="10"/>
  <c r="CW17" i="10" s="1"/>
  <c r="K16" i="20"/>
  <c r="K15" i="20" s="1"/>
  <c r="S16" i="4" l="1"/>
  <c r="S15" i="4" s="1"/>
  <c r="U38" i="4"/>
  <c r="AN20" i="4"/>
  <c r="CB20" i="4" s="1"/>
  <c r="CB19" i="4" s="1"/>
  <c r="CB18" i="4" s="1"/>
  <c r="CB17" i="4" s="1"/>
  <c r="CB16" i="4" s="1"/>
  <c r="CB15" i="4" s="1"/>
  <c r="U19" i="4"/>
  <c r="U18" i="4" s="1"/>
  <c r="U17" i="4" s="1"/>
  <c r="BA39" i="4"/>
  <c r="BA38" i="4" s="1"/>
  <c r="BA16" i="4" s="1"/>
  <c r="BA15" i="4" s="1"/>
  <c r="AX38" i="4"/>
  <c r="AX16" i="4" s="1"/>
  <c r="AX15" i="4" s="1"/>
  <c r="K13" i="20"/>
  <c r="K12" i="20" s="1"/>
  <c r="BZ38" i="4"/>
  <c r="BZ16" i="4" s="1"/>
  <c r="BZ15" i="4" s="1"/>
  <c r="F18" i="20"/>
  <c r="AN19" i="4" l="1"/>
  <c r="AN18" i="4" s="1"/>
  <c r="AN17" i="4" s="1"/>
  <c r="AN16" i="4" s="1"/>
  <c r="AN15" i="4" s="1"/>
  <c r="AQ20" i="4"/>
  <c r="AQ19" i="4" s="1"/>
  <c r="AQ18" i="4" s="1"/>
  <c r="AQ17" i="4" s="1"/>
  <c r="AQ16" i="4" s="1"/>
  <c r="AQ15" i="4" s="1"/>
  <c r="U16" i="4"/>
  <c r="U15" i="4" s="1"/>
  <c r="AF15" i="8"/>
  <c r="P15" i="20" l="1"/>
  <c r="P14" i="20" s="1"/>
  <c r="Q15" i="20"/>
  <c r="R15" i="20"/>
  <c r="S15" i="20"/>
  <c r="T15" i="20"/>
  <c r="U15" i="20"/>
  <c r="V15" i="20"/>
  <c r="W15" i="20"/>
  <c r="X15" i="20"/>
  <c r="AA15" i="20"/>
  <c r="AA14" i="20" s="1"/>
  <c r="AA13" i="20" s="1"/>
  <c r="AB15" i="20"/>
  <c r="O15" i="20"/>
  <c r="O14" i="20" s="1"/>
  <c r="C14" i="20"/>
  <c r="Z15" i="20"/>
  <c r="Z14" i="20" s="1"/>
  <c r="Z13" i="20" s="1"/>
  <c r="Y15" i="20"/>
  <c r="Y14" i="20" s="1"/>
  <c r="Y13" i="20" s="1"/>
  <c r="S20" i="18"/>
  <c r="T20" i="18"/>
  <c r="W20" i="18"/>
  <c r="X20" i="18"/>
  <c r="Y20" i="18"/>
  <c r="Z20" i="18"/>
  <c r="AA20" i="18"/>
  <c r="AB20" i="18"/>
  <c r="AC20" i="18"/>
  <c r="AD20" i="18"/>
  <c r="AE21" i="18"/>
  <c r="AE20" i="18" s="1"/>
  <c r="S15" i="18"/>
  <c r="T15" i="18"/>
  <c r="U15" i="18"/>
  <c r="W15" i="18"/>
  <c r="X15" i="18"/>
  <c r="Y15" i="18"/>
  <c r="Z15" i="18"/>
  <c r="AC15" i="18"/>
  <c r="AD15" i="18"/>
  <c r="AE15" i="18"/>
  <c r="R20" i="18"/>
  <c r="Q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P20" i="18"/>
  <c r="R15" i="18"/>
  <c r="Q15" i="18"/>
  <c r="P15" i="18"/>
  <c r="L12" i="17"/>
  <c r="N12" i="17"/>
  <c r="O12" i="17"/>
  <c r="P12" i="17"/>
  <c r="Q12" i="17"/>
  <c r="R12" i="17"/>
  <c r="K12" i="17"/>
  <c r="I12" i="17"/>
  <c r="H12" i="17"/>
  <c r="E13" i="17"/>
  <c r="D13" i="17"/>
  <c r="J12" i="17"/>
  <c r="I25" i="16"/>
  <c r="H25" i="16"/>
  <c r="G25" i="16"/>
  <c r="E25" i="16"/>
  <c r="K25" i="16"/>
  <c r="J25" i="16"/>
  <c r="F25" i="16"/>
  <c r="D25" i="16"/>
  <c r="D20" i="16"/>
  <c r="D19" i="16" s="1"/>
  <c r="CV18" i="15"/>
  <c r="CV17" i="15" s="1"/>
  <c r="CV16" i="15" s="1"/>
  <c r="DA18" i="15"/>
  <c r="D21" i="14"/>
  <c r="D20" i="14" s="1"/>
  <c r="DD25" i="10"/>
  <c r="DD17" i="10" s="1"/>
  <c r="C12" i="20" l="1"/>
  <c r="AB12" i="20"/>
  <c r="T12" i="20"/>
  <c r="F21" i="20"/>
  <c r="X12" i="20"/>
  <c r="P12" i="20"/>
  <c r="V12" i="20"/>
  <c r="Y12" i="20"/>
  <c r="R12" i="20"/>
  <c r="AA12" i="20"/>
  <c r="W12" i="20"/>
  <c r="S12" i="20"/>
  <c r="O12" i="20"/>
  <c r="Q12" i="20"/>
  <c r="Z12" i="20"/>
  <c r="G10" i="17"/>
  <c r="D20" i="20"/>
  <c r="F20" i="20" l="1"/>
  <c r="L20" i="20"/>
  <c r="I21" i="20" l="1"/>
  <c r="I20" i="20" s="1"/>
  <c r="N20" i="20"/>
  <c r="N14" i="20" l="1"/>
  <c r="N13" i="20" s="1"/>
  <c r="N12" i="20" s="1"/>
  <c r="D25" i="10" l="1"/>
  <c r="D19" i="10" s="1"/>
  <c r="D18" i="10" s="1"/>
  <c r="D17" i="10" s="1"/>
  <c r="C58" i="10" s="1"/>
  <c r="H15" i="4"/>
  <c r="C57" i="8" s="1"/>
  <c r="C58" i="8"/>
  <c r="F17" i="20" l="1"/>
  <c r="F16" i="20" s="1"/>
  <c r="F15" i="20" s="1"/>
  <c r="F14" i="20" s="1"/>
  <c r="D15" i="20"/>
  <c r="D14" i="20" s="1"/>
  <c r="D13" i="20" l="1"/>
  <c r="D12" i="20" s="1"/>
  <c r="I16" i="20" l="1"/>
  <c r="I15" i="20" s="1"/>
  <c r="I14" i="20" s="1"/>
  <c r="I13" i="20" s="1"/>
  <c r="D23" i="2"/>
  <c r="D19" i="2" s="1"/>
  <c r="D18" i="2" s="1"/>
  <c r="W23" i="2"/>
  <c r="W19" i="2" s="1"/>
  <c r="W18" i="2" s="1"/>
  <c r="V23" i="2"/>
  <c r="V19" i="2" s="1"/>
  <c r="V18" i="2" s="1"/>
  <c r="U23" i="2"/>
  <c r="U19" i="2" s="1"/>
  <c r="U18" i="2" s="1"/>
  <c r="T23" i="2"/>
  <c r="T19" i="2" s="1"/>
  <c r="T18" i="2" s="1"/>
  <c r="O23" i="2"/>
  <c r="O19" i="2" s="1"/>
  <c r="O18" i="2" s="1"/>
  <c r="N23" i="2"/>
  <c r="N19" i="2" s="1"/>
  <c r="N18" i="2" s="1"/>
  <c r="M23" i="2"/>
  <c r="M18" i="2" s="1"/>
  <c r="K23" i="2"/>
  <c r="K19" i="2" s="1"/>
  <c r="K18" i="2" s="1"/>
  <c r="J23" i="2"/>
  <c r="J19" i="2" s="1"/>
  <c r="J18" i="2" s="1"/>
  <c r="I23" i="2"/>
  <c r="I19" i="2" s="1"/>
  <c r="I18" i="2" s="1"/>
  <c r="H23" i="2"/>
  <c r="H19" i="2" s="1"/>
  <c r="H18" i="2" s="1"/>
  <c r="G23" i="2"/>
  <c r="G19" i="2" s="1"/>
  <c r="G18" i="2" s="1"/>
  <c r="F23" i="2"/>
  <c r="F19" i="2" s="1"/>
  <c r="F18" i="2" s="1"/>
  <c r="E23" i="2"/>
  <c r="E19" i="2" s="1"/>
  <c r="E18" i="2" s="1"/>
  <c r="L23" i="2"/>
  <c r="D21" i="1"/>
  <c r="D20" i="1" s="1"/>
  <c r="E21" i="1"/>
  <c r="E20" i="1" s="1"/>
  <c r="F21" i="1"/>
  <c r="F20" i="1" s="1"/>
  <c r="G21" i="1"/>
  <c r="G20" i="1" s="1"/>
  <c r="H21" i="1"/>
  <c r="H20" i="1" s="1"/>
  <c r="I21" i="1"/>
  <c r="I20" i="1" s="1"/>
  <c r="J21" i="1"/>
  <c r="J20" i="1" s="1"/>
  <c r="K21" i="1"/>
  <c r="K20" i="1" s="1"/>
  <c r="L21" i="1"/>
  <c r="L20" i="1" s="1"/>
  <c r="M21" i="1"/>
  <c r="M20" i="1" s="1"/>
  <c r="N21" i="1"/>
  <c r="N20" i="1" s="1"/>
  <c r="O21" i="1"/>
  <c r="O20" i="1" s="1"/>
  <c r="T21" i="1"/>
  <c r="T20" i="1" s="1"/>
  <c r="U21" i="1"/>
  <c r="U20" i="1" s="1"/>
  <c r="V21" i="1"/>
  <c r="V20" i="1" s="1"/>
  <c r="W21" i="1"/>
  <c r="W20" i="1" s="1"/>
  <c r="F17" i="2" l="1"/>
  <c r="V17" i="2"/>
  <c r="D17" i="2"/>
  <c r="H17" i="2"/>
  <c r="T17" i="2"/>
  <c r="C17" i="2"/>
  <c r="G17" i="2"/>
  <c r="O17" i="2"/>
  <c r="W17" i="2"/>
  <c r="N17" i="2"/>
  <c r="K17" i="2"/>
  <c r="J17" i="2"/>
  <c r="E17" i="2"/>
  <c r="I17" i="2"/>
  <c r="M17" i="2"/>
  <c r="U17" i="2"/>
  <c r="I12" i="20" l="1"/>
  <c r="F33" i="20" l="1"/>
  <c r="V182" i="38"/>
  <c r="V246" i="38" s="1"/>
  <c r="L182" i="38"/>
  <c r="F13" i="20" l="1"/>
  <c r="F12" i="20" s="1"/>
  <c r="L239" i="38"/>
  <c r="L246" i="38"/>
  <c r="V239" i="38"/>
  <c r="V247" i="38" s="1"/>
  <c r="L247" i="38" l="1"/>
  <c r="K45" i="39"/>
  <c r="K20" i="39" s="1"/>
  <c r="K19" i="39" s="1"/>
  <c r="L52" i="39"/>
  <c r="L45" i="39"/>
  <c r="M52" i="39"/>
  <c r="M45" i="39"/>
  <c r="M20" i="39" s="1"/>
  <c r="M19" i="39" s="1"/>
  <c r="K52" i="39"/>
  <c r="R45" i="39"/>
  <c r="R20" i="39" s="1"/>
  <c r="R19" i="39" s="1"/>
  <c r="P45" i="39"/>
  <c r="O52" i="39"/>
  <c r="O45" i="39"/>
  <c r="Q45" i="39"/>
  <c r="Q20" i="39" s="1"/>
  <c r="Q19" i="39" s="1"/>
  <c r="Q52" i="39"/>
  <c r="N52" i="39"/>
  <c r="N45" i="39"/>
  <c r="N20" i="39" s="1"/>
  <c r="N19" i="39" s="1"/>
  <c r="T52" i="39" l="1"/>
  <c r="S52" i="39"/>
  <c r="P20" i="39"/>
  <c r="P19" i="39" s="1"/>
  <c r="T45" i="39"/>
  <c r="T20" i="39" s="1"/>
  <c r="T19" i="39" s="1"/>
  <c r="O20" i="39"/>
  <c r="O19" i="39" s="1"/>
  <c r="S45" i="39"/>
  <c r="S20" i="39" s="1"/>
  <c r="S19" i="39" s="1"/>
  <c r="L20" i="39"/>
  <c r="L19" i="39" s="1"/>
</calcChain>
</file>

<file path=xl/comments1.xml><?xml version="1.0" encoding="utf-8"?>
<comments xmlns="http://schemas.openxmlformats.org/spreadsheetml/2006/main">
  <authors>
    <author>Екатерина Шабанова</author>
  </authors>
  <commentLis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2.xml><?xml version="1.0" encoding="utf-8"?>
<comments xmlns="http://schemas.openxmlformats.org/spreadsheetml/2006/main">
  <authors>
    <author>Екатерина Шабанова</author>
  </authors>
  <commentLis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3.xml><?xml version="1.0" encoding="utf-8"?>
<comments xmlns="http://schemas.openxmlformats.org/spreadsheetml/2006/main">
  <authors>
    <author>Екатерина Шабанова</author>
  </authors>
  <commentList>
    <comment ref="D11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проверить</t>
        </r>
      </text>
    </comment>
  </commentList>
</comments>
</file>

<file path=xl/comments4.xml><?xml version="1.0" encoding="utf-8"?>
<comments xmlns="http://schemas.openxmlformats.org/spreadsheetml/2006/main">
  <authors>
    <author>Екатерина Шабанова</author>
  </authors>
  <commentList>
    <comment ref="C58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Шабанова:</t>
        </r>
        <r>
          <rPr>
            <sz val="9"/>
            <color indexed="81"/>
            <rFont val="Tahoma"/>
            <family val="2"/>
            <charset val="204"/>
          </rPr>
          <t xml:space="preserve">
охр тр, команд</t>
        </r>
      </text>
    </comment>
  </commentList>
</comments>
</file>

<file path=xl/sharedStrings.xml><?xml version="1.0" encoding="utf-8"?>
<sst xmlns="http://schemas.openxmlformats.org/spreadsheetml/2006/main" count="16974" uniqueCount="1384">
  <si>
    <t>Форма 1. Перечени инвестиционных проектов</t>
  </si>
  <si>
    <t>Инвестиционная программа ООО "Дальневосточные электрические сети"</t>
  </si>
  <si>
    <t>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</si>
  <si>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</si>
  <si>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</si>
  <si>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</si>
  <si>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</si>
  <si>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</si>
  <si>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</si>
  <si>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</si>
  <si>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r>
      <t xml:space="preserve">показатель увеличения мощности силовых трансформаторов </t>
    </r>
    <r>
      <rPr>
        <sz val="12"/>
        <color theme="1"/>
        <rFont val="Calibri"/>
        <family val="2"/>
        <charset val="204"/>
      </rPr>
      <t>∆</t>
    </r>
    <r>
      <rPr>
        <sz val="12"/>
        <color theme="1"/>
        <rFont val="Times New Roman"/>
        <family val="1"/>
        <charset val="204"/>
      </rPr>
      <t>Ртр, МВА</t>
    </r>
  </si>
  <si>
    <t>показатель степени загрузки трансформаторной подстанции Кзагр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</si>
  <si>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км;</t>
  </si>
  <si>
    <t>показатель замены силовых трансформаторов Рз_тр, МВА</t>
  </si>
  <si>
    <t>показатель замены выключателей Вз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</si>
  <si>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км;</t>
  </si>
  <si>
    <t>показатель оценки изменения средней продолжительности прекращения передачи электрической энергии ∆Пsaidi</t>
  </si>
  <si>
    <t>показатель оценки изменения средней частоты прекращения передачи электрической энергии ∆Пsaifi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</si>
  <si>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</si>
  <si>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</si>
  <si>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</si>
  <si>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</si>
  <si>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</si>
  <si>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</si>
  <si>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</si>
  <si>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</si>
  <si>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</si>
  <si>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6.1</t>
  </si>
  <si>
    <t>6.2</t>
  </si>
  <si>
    <t>6.3</t>
  </si>
  <si>
    <t>6.4</t>
  </si>
  <si>
    <t>0</t>
  </si>
  <si>
    <t>ВСЕГО по инвестиционной программе, в том числе:</t>
  </si>
  <si>
    <t>нд</t>
  </si>
  <si>
    <t>Приморский край</t>
  </si>
  <si>
    <t>1.1</t>
  </si>
  <si>
    <t>1.2</t>
  </si>
  <si>
    <t>Реконструкция, модернизация, техническое перевооружение всего, в том числе:</t>
  </si>
  <si>
    <t>1.2.1.1</t>
  </si>
  <si>
    <t>Реконструкция трансформаторных и иных подстанций, всего, в том числе:</t>
  </si>
  <si>
    <t>1.2.1.1.1</t>
  </si>
  <si>
    <t>1.2.2</t>
  </si>
  <si>
    <t>Реконструкция, модернизация, техническое перевооружение линий электропередачи, всего, в том числе:</t>
  </si>
  <si>
    <t>1.2.3.3</t>
  </si>
  <si>
    <t>1.2.3.4</t>
  </si>
  <si>
    <t>1.2.3.5</t>
  </si>
  <si>
    <t>1.2.3.6</t>
  </si>
  <si>
    <t>1.2.3.7</t>
  </si>
  <si>
    <t>1.3</t>
  </si>
  <si>
    <t>1.2.2.1</t>
  </si>
  <si>
    <t>Реконструкция линий электропередачи, всего, в том числе:</t>
  </si>
  <si>
    <t>1.2.2.1.1</t>
  </si>
  <si>
    <t>Генеральный директор ООО "ДВЭС"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</si>
  <si>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</si>
  <si>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</si>
  <si>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</t>
  </si>
  <si>
    <t>1.1.1</t>
  </si>
  <si>
    <t>1.1.1.1</t>
  </si>
  <si>
    <t>1.1.1.2</t>
  </si>
  <si>
    <t>1.1.1.3</t>
  </si>
  <si>
    <t>1.1.2</t>
  </si>
  <si>
    <t>1.1.2.1</t>
  </si>
  <si>
    <t>1.1.2.2</t>
  </si>
  <si>
    <t>1.1.3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</si>
  <si>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</si>
  <si>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</si>
  <si>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</si>
  <si>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</si>
  <si>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</si>
  <si>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</si>
  <si>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</si>
  <si>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</si>
  <si>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</si>
  <si>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-</t>
  </si>
  <si>
    <t>Форма 2. План финансирования капитальных вложений по инвестиционным проектам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</si>
  <si>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ООО "Дальневосточные электрические сети"</t>
    </r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</si>
  <si>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</si>
  <si>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</si>
  <si>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</si>
  <si>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</si>
  <si>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</si>
  <si>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</si>
  <si>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</si>
  <si>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</si>
  <si>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</si>
  <si>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</si>
  <si>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</si>
  <si>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Предложение по корректировке утвержденного плана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</si>
  <si>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</si>
  <si>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</si>
  <si>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</si>
  <si>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
млн рублей (с НДС) </t>
  </si>
  <si>
    <t xml:space="preserve">в прогнозных ценах соответствующих лет, млн рублей 
(с НДС) </t>
  </si>
  <si>
    <t xml:space="preserve">в текущих ценах, млн рублей (с НДС) </t>
  </si>
  <si>
    <t>План 
на 01.01.2017 года (N-1)</t>
  </si>
  <si>
    <r>
      <t>План 
на 01.01.2016 года X</t>
    </r>
    <r>
      <rPr>
        <vertAlign val="superscript"/>
        <sz val="12"/>
        <rFont val="Times New Roman"/>
        <family val="1"/>
        <charset val="204"/>
      </rPr>
      <t>4)</t>
    </r>
  </si>
  <si>
    <t>Предложение по корректировке утвержденного плана на 01.01.года X</t>
  </si>
  <si>
    <t>П</t>
  </si>
  <si>
    <t>16.1</t>
  </si>
  <si>
    <t>16.2</t>
  </si>
  <si>
    <t>16.3</t>
  </si>
  <si>
    <t>16.4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</si>
  <si>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</si>
  <si>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</si>
  <si>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</si>
  <si>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</si>
  <si>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</si>
  <si>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</si>
  <si>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</si>
  <si>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</si>
  <si>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</si>
  <si>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</si>
  <si>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</si>
  <si>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</si>
  <si>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</si>
  <si>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</si>
  <si>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</si>
  <si>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</si>
  <si>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</si>
  <si>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</si>
  <si>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</si>
  <si>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</si>
  <si>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</si>
  <si>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</si>
  <si>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</si>
  <si>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</si>
  <si>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</si>
  <si>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</si>
  <si>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</si>
  <si>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</si>
  <si>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</si>
  <si>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</si>
  <si>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</si>
  <si>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</si>
  <si>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</si>
  <si>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</si>
  <si>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>Общий объем финансирования, 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</si>
  <si>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</si>
  <si>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</si>
  <si>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амортизационные отчисления</t>
  </si>
  <si>
    <t>иных источников финансирования</t>
  </si>
  <si>
    <t>Приложение  № 17</t>
  </si>
  <si>
    <t>к приказу Минэнерго России</t>
  </si>
  <si>
    <t>от «__» _____ 2016 г. №___</t>
  </si>
  <si>
    <t>Форма 17. Краткое описание инвестиционной программы. Индексы-дефляторы инвестиций в основной капитал (капитальных вложений)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</si>
  <si>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</si>
  <si>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t>№ п/п</t>
  </si>
  <si>
    <t>Наименование</t>
  </si>
  <si>
    <t xml:space="preserve">Наименование документа - источника данных </t>
  </si>
  <si>
    <t>Реквизиты документа</t>
  </si>
  <si>
    <t>5.5</t>
  </si>
  <si>
    <t>5.6</t>
  </si>
  <si>
    <t>5.7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</si>
  <si>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</si>
  <si>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</si>
  <si>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…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</si>
  <si>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</si>
  <si>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</si>
  <si>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</si>
  <si>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</si>
  <si>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Форма 3. План освоения капитальных вложений по инвестиционным проектам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</si>
  <si>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</si>
  <si>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</si>
  <si>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t>Остаток освоения капитальных вложений, 
млн рублей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</si>
  <si>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</si>
  <si>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</si>
  <si>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</si>
  <si>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</si>
  <si>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</si>
  <si>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</si>
  <si>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</si>
  <si>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</si>
  <si>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</si>
  <si>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</si>
  <si>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реквизиты решения органа исполнительной власти, утвердившего инвестиционную программу</t>
  </si>
  <si>
    <t>Форма 4. План ввода основных средств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</si>
  <si>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</si>
  <si>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(N-1)</t>
  </si>
  <si>
    <t>Принятие основных средств и нематериальных активов к бухгалтерскому учету</t>
  </si>
  <si>
    <t>Итого за период реализации инвестиционной программы</t>
  </si>
  <si>
    <t>Предложение 
по корректировке 
утвержденного
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</si>
  <si>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</si>
  <si>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</si>
  <si>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</si>
  <si>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</si>
  <si>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</si>
  <si>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</si>
  <si>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</si>
  <si>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</si>
  <si>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</si>
  <si>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</si>
  <si>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</si>
  <si>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</si>
  <si>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</si>
  <si>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</si>
  <si>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</si>
  <si>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</si>
  <si>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</si>
  <si>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</si>
  <si>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</si>
  <si>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</si>
  <si>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</si>
  <si>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</si>
  <si>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</si>
  <si>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</si>
  <si>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</si>
  <si>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</si>
  <si>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</si>
  <si>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</si>
  <si>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</si>
  <si>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</si>
  <si>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</si>
  <si>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</si>
  <si>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</si>
  <si>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</si>
  <si>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</si>
  <si>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</si>
  <si>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</si>
  <si>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</si>
  <si>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</si>
  <si>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</si>
  <si>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</si>
  <si>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</si>
  <si>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</si>
  <si>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</si>
  <si>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</si>
  <si>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</si>
  <si>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</si>
  <si>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</si>
  <si>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</si>
  <si>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</si>
  <si>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</si>
  <si>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</si>
  <si>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</si>
  <si>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</si>
  <si>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</si>
  <si>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</si>
  <si>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</si>
  <si>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</si>
  <si>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</si>
  <si>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</si>
  <si>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</si>
  <si>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</si>
  <si>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</si>
  <si>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</si>
  <si>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</si>
  <si>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</si>
  <si>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</si>
  <si>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</si>
  <si>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</si>
  <si>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</si>
  <si>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</si>
  <si>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</si>
  <si>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</si>
  <si>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</si>
  <si>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</si>
  <si>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</si>
  <si>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</si>
  <si>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</si>
  <si>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</si>
  <si>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Форма 5. План ввода основных средств (с распределением по кварталам)</t>
  </si>
  <si>
    <t>План 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</si>
  <si>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</si>
  <si>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</si>
  <si>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</si>
  <si>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</si>
  <si>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</si>
  <si>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</si>
  <si>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</si>
  <si>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</si>
  <si>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</si>
  <si>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</si>
  <si>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</si>
  <si>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</si>
  <si>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</si>
  <si>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</si>
  <si>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</si>
  <si>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</si>
  <si>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</si>
  <si>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</si>
  <si>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</si>
  <si>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</si>
  <si>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</si>
  <si>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</si>
  <si>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</si>
  <si>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</si>
  <si>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</si>
  <si>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</si>
  <si>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</si>
  <si>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</si>
  <si>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</si>
  <si>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</si>
  <si>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</si>
  <si>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</si>
  <si>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</si>
  <si>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</si>
  <si>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</si>
  <si>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</si>
  <si>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</si>
  <si>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</si>
  <si>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</si>
  <si>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</si>
  <si>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</si>
  <si>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</si>
  <si>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</si>
  <si>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</si>
  <si>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</si>
  <si>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</si>
  <si>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</si>
  <si>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</si>
  <si>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</si>
  <si>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</si>
  <si>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</si>
  <si>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</si>
  <si>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</si>
  <si>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</si>
  <si>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</si>
  <si>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</si>
  <si>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</si>
  <si>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</si>
  <si>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</si>
  <si>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</si>
  <si>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</si>
  <si>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</si>
  <si>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</si>
  <si>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</si>
  <si>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</si>
  <si>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</si>
  <si>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</si>
  <si>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</si>
  <si>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</si>
  <si>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</si>
  <si>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</si>
  <si>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</si>
  <si>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</si>
  <si>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</si>
  <si>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</si>
  <si>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</si>
  <si>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</si>
  <si>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</si>
  <si>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Форма 7.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</si>
  <si>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</si>
  <si>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</si>
  <si>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</si>
  <si>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</si>
  <si>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</si>
  <si>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</si>
  <si>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Форма 9. Краткое описание инвестиционной программы. Показатели энергетической эффективности</t>
  </si>
  <si>
    <t>______________________________________________________________________________________________________________________________________________________________________________________________________________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</si>
  <si>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</si>
  <si>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</si>
  <si>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</si>
  <si>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</si>
  <si>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</si>
  <si>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</si>
  <si>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</si>
  <si>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</si>
  <si>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</si>
  <si>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 ООО "Дальневосточные электрические сети"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</si>
  <si>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</si>
  <si>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</si>
  <si>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</si>
  <si>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</si>
  <si>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</si>
  <si>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</si>
  <si>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</si>
  <si>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</si>
  <si>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</si>
  <si>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</si>
  <si>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</si>
  <si>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</si>
  <si>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</si>
  <si>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</si>
  <si>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</si>
  <si>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Дальневосточный Федеральный округ</t>
  </si>
  <si>
    <t>Владивостокский городской округ</t>
  </si>
  <si>
    <t>не относится</t>
  </si>
  <si>
    <t>Форма 12. Краткое описание инвестиционной программы. Обоснование необходимости реализации инвестиционных проектов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</si>
  <si>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ООО "Дальневосточные электрические сети" </t>
    </r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</si>
  <si>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</si>
  <si>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</si>
  <si>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</si>
  <si>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</si>
  <si>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</si>
  <si>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</si>
  <si>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</si>
  <si>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</si>
  <si>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</si>
  <si>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</si>
  <si>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</si>
  <si>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</si>
  <si>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</si>
  <si>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</si>
  <si>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</si>
  <si>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</si>
  <si>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</si>
  <si>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</si>
  <si>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</si>
  <si>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</si>
  <si>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</si>
  <si>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</si>
  <si>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</si>
  <si>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</si>
  <si>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</si>
  <si>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</si>
  <si>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</si>
  <si>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</si>
  <si>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</si>
  <si>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</si>
  <si>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</si>
  <si>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</si>
  <si>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+</t>
  </si>
  <si>
    <t>Форма 13. Краткое описание инвестиционной программы. Обоснование необходимости реализации инвестиционных проектов</t>
  </si>
  <si>
    <t>Планируемый в инвестиционной программе срок постановки объектов электросетевого хозяйства под напряжение (включения объектов капитального строительства для проведения пусконаладочных работ), год</t>
  </si>
  <si>
    <t>Планируемый в инвестиционной программе срок ввода объектов электросетевого хозяйства (объектов теплоснабжения) в эксплуатацию, год</t>
  </si>
  <si>
    <r>
  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
(срок ввода объекта теплоснабжения в соответствии со схемой теплоснабжения поселения, городского округа с численностью населения пятьсот тысяч человек и более или города федерального значения, утвержденной федеральным органом исполнительной власти), год</t>
    </r>
  </si>
  <si>
    <r>
      <t>Схема и программа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(схема теплоснабжения поселения (городского округа), утвержденная органом местного самоуправления)</t>
    </r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</si>
  <si>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</si>
  <si>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r>
      <t>Срок ввода объекта в эксплуатацию, предусмотренный схемой и программой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
(схемой теплоснабжения поселения (городского округа), утвержденной органом местного самоуправления), год</t>
    </r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</si>
  <si>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схемы и программы (реквизиты решения  органа местного самоуправления об утверждении схемы теплоснабжения
 и указание на структурные единицы      схемы теплоснабжения)</t>
  </si>
  <si>
    <t>Форма 14. Краткое описание инвестиционной программы.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</si>
  <si>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</si>
  <si>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</si>
  <si>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</si>
  <si>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</si>
  <si>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</si>
  <si>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</si>
  <si>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</si>
  <si>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ВЛЭП-0,4 кВ, км</t>
  </si>
  <si>
    <t>КЛЭП-6,0 кВ, км</t>
  </si>
  <si>
    <t>КЛЭП-0,4 кВ, км</t>
  </si>
  <si>
    <t>ТП (КТП), МВА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</si>
  <si>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</si>
  <si>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</si>
  <si>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</si>
  <si>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</si>
  <si>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</si>
  <si>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значение до, км</t>
  </si>
  <si>
    <t>значение после, км</t>
  </si>
  <si>
    <t>16.1.1</t>
  </si>
  <si>
    <t>16.1.2</t>
  </si>
  <si>
    <t>16.2.1</t>
  </si>
  <si>
    <t>16.2.2</t>
  </si>
  <si>
    <t>16.3.1</t>
  </si>
  <si>
    <t>16.3.2</t>
  </si>
  <si>
    <t>16.4.1</t>
  </si>
  <si>
    <t>16.4.2</t>
  </si>
  <si>
    <t>16.5.1</t>
  </si>
  <si>
    <t>16.5.2</t>
  </si>
  <si>
    <t>16.6.1</t>
  </si>
  <si>
    <t>16.6.2</t>
  </si>
  <si>
    <t>развитие электрической сети и (или) усиление существующей электрической сети, связанное с подключением новых потребителей</t>
  </si>
  <si>
    <t>Форма 18. Значения целевых показателей, установленные для целей формирования инвестиционной программы</t>
  </si>
  <si>
    <r>
      <t xml:space="preserve">Инвестиционная программа    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</si>
  <si>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Наименование  субъекта Российской Федерации  </t>
    </r>
    <r>
      <rPr>
        <u/>
        <sz val="12"/>
        <rFont val="Times New Roman"/>
        <family val="1"/>
        <charset val="204"/>
      </rPr>
      <t>Приморский край</t>
    </r>
  </si>
  <si>
    <t>Наименование целевого показателя</t>
  </si>
  <si>
    <t>Единицы измерения</t>
  </si>
  <si>
    <t>Значения целевых показателей, годы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</si>
  <si>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;</t>
  </si>
  <si>
    <t>показатель замены силовых  трансформаторов ;</t>
  </si>
  <si>
    <t>показатель замены выключателей;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</si>
  <si>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;</t>
  </si>
  <si>
    <t>I</t>
  </si>
  <si>
    <t>IV</t>
  </si>
  <si>
    <t xml:space="preserve">Утвержденный план
</t>
  </si>
  <si>
    <t>1.2.1.1.2</t>
  </si>
  <si>
    <t>1.6</t>
  </si>
  <si>
    <t>Прочие инвестиционные проекты, всего, в том числе:</t>
  </si>
  <si>
    <t>1.6.1.</t>
  </si>
  <si>
    <t xml:space="preserve">Утвержденный план </t>
  </si>
  <si>
    <t>Утвержденный план</t>
  </si>
  <si>
    <t>Итого за период реализации инвестиционной программы
(утвержденный план)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</si>
  <si>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базисном уровне цен, 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</si>
  <si>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r>
      <t xml:space="preserve">Оценка полной стоимости в прогнозных ценах соответствующих лет, 
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</si>
  <si>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t>Предложение по корректировке утвержденного плана 
на ______</t>
  </si>
  <si>
    <t>Освоение капитальных вложений 2018 года в прогнозных ценах соответствующих лет, млн рублей (без НДС)</t>
  </si>
  <si>
    <t>Предложение по корректировке плана</t>
  </si>
  <si>
    <r>
      <t xml:space="preserve">Освоение капитальных вложений в прогнозных ценах соответствующих лет, млн рублей </t>
    </r>
    <r>
      <rPr>
        <b/>
        <sz val="12"/>
        <color rgb="FFFF0000"/>
        <rFont val="Times New Roman"/>
        <family val="1"/>
        <charset val="204"/>
      </rPr>
      <t xml:space="preserve"> (без НДС)</t>
    </r>
  </si>
  <si>
    <t>Повышение качества и надежности электроснабжения</t>
  </si>
  <si>
    <t>не требуется</t>
  </si>
  <si>
    <t xml:space="preserve"> полное наименование субъекта электроэнергетики</t>
  </si>
  <si>
    <t>Коммерческое предложение</t>
  </si>
  <si>
    <t>Задачи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</si>
  <si>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</si>
  <si>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</si>
  <si>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</si>
  <si>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</si>
  <si>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Сетевые организации раскрывают в соответствии со стандартами раскрытия информации в составе информации об инвестиционной программе (о проекте инвестиционной программы) и обосновывающих ее материалах, а также информации об отчетах о реализации инвестиционной программы и об обосновывающих ее материалах плановые и фактические значения следующих количественных показателей инвестиционной программы (проекта инвестиционной программы):</t>
  </si>
  <si>
    <t>а) характеризующих развитие электрической сети и (или) усиление существующей электрической сети, связанное с подключением новых потребителей: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</si>
  <si>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;</t>
  </si>
  <si>
    <t>показатель увеличения мощности силовых  трансформаторов на подстанциях в рамках осуществления технологического присоединения к электрическим сетям ;</t>
  </si>
  <si>
    <t>показатель максимальной мощности присоединяемых потребителей электрической энергии ;</t>
  </si>
  <si>
    <t>показатель максимальной мощности присоединяемых объектов по производству электрической энергии 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</si>
  <si>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;</t>
  </si>
  <si>
    <t>показатель степени загрузки трансформаторной подстанции (Kзагр);</t>
  </si>
  <si>
    <t>б) 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</si>
  <si>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показатель замены линий электропередачи;</t>
  </si>
  <si>
    <t>показатель замены устройств компенсации реактивной мощности ;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</si>
  <si>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;</t>
  </si>
  <si>
    <t>в) характеризующих повышение надежности оказываемых услуг в сфере электроэнергетики:</t>
  </si>
  <si>
    <t>показатель оценки изменения средней продолжительности прекращения передачи электрической энергии потребителям услуг ;</t>
  </si>
  <si>
    <t>показатель оценки изменения средней частоты прекращения передачи электрической энергии потребителям услуг ;</t>
  </si>
  <si>
    <t>показатель оценки изменения объема недоотпущенной электрической энергии ;</t>
  </si>
  <si>
    <t>г) характеризующих повышение качества оказываемых услуг в сфере электроэнергетики: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</si>
  <si>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</si>
  <si>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;</t>
  </si>
  <si>
    <t>Интегрированных ПУ</t>
  </si>
  <si>
    <t>Единиц с/техники</t>
  </si>
  <si>
    <t>7.3.8</t>
  </si>
  <si>
    <t>7.4.8</t>
  </si>
  <si>
    <t>7.5.8</t>
  </si>
  <si>
    <t>8.2.8</t>
  </si>
  <si>
    <t>8.1.8</t>
  </si>
  <si>
    <t>7.8.8</t>
  </si>
  <si>
    <t>7.7.8</t>
  </si>
  <si>
    <t>7.6.8</t>
  </si>
  <si>
    <t>4.2.8</t>
  </si>
  <si>
    <t>4.1.8</t>
  </si>
  <si>
    <t>5.3.7</t>
  </si>
  <si>
    <t>5.4.7</t>
  </si>
  <si>
    <t>5.5.7</t>
  </si>
  <si>
    <t>5.6.7</t>
  </si>
  <si>
    <t>5.7.7</t>
  </si>
  <si>
    <t>5.8.7</t>
  </si>
  <si>
    <t>5.1.1</t>
  </si>
  <si>
    <t>5.1.2</t>
  </si>
  <si>
    <t>5.1.3</t>
  </si>
  <si>
    <t>6.1.8</t>
  </si>
  <si>
    <t>6.2.8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</si>
  <si>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</si>
  <si>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</si>
  <si>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</si>
  <si>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</si>
  <si>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</si>
  <si>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</si>
  <si>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</si>
  <si>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</si>
  <si>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</si>
  <si>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</si>
  <si>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</si>
  <si>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</si>
  <si>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</si>
  <si>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</si>
  <si>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</si>
  <si>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</si>
  <si>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</si>
  <si>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</si>
  <si>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</si>
  <si>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</si>
  <si>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</si>
  <si>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</si>
  <si>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</si>
  <si>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</si>
  <si>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</si>
  <si>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</si>
  <si>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</si>
  <si>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</si>
  <si>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</si>
  <si>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</si>
  <si>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</si>
  <si>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</si>
  <si>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</si>
  <si>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</si>
  <si>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</si>
  <si>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</si>
  <si>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</si>
  <si>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</si>
  <si>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</si>
  <si>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</si>
  <si>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</si>
  <si>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</si>
  <si>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</si>
  <si>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</si>
  <si>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</si>
  <si>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</si>
  <si>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</si>
  <si>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</si>
  <si>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Интегрированные ПУ</t>
  </si>
  <si>
    <t>1.2.2.1.2</t>
  </si>
  <si>
    <t>ВЛЭП-10 кВ, км</t>
  </si>
  <si>
    <t>1.2.2.1.3</t>
  </si>
  <si>
    <t>1.2.2.1.4</t>
  </si>
  <si>
    <t>Шкотовский муниципальный район</t>
  </si>
  <si>
    <t>5.8</t>
  </si>
  <si>
    <t>5.9</t>
  </si>
  <si>
    <t xml:space="preserve">Утвержденный план 
2022 года </t>
  </si>
  <si>
    <t>Предложение по корректировке утвержденного плана 
2022 года</t>
  </si>
  <si>
    <t xml:space="preserve">Утвержденный план 
2023 года </t>
  </si>
  <si>
    <t>Предложение по корректировке утвержденного плана 
2023 года</t>
  </si>
  <si>
    <t xml:space="preserve">Утвержденный план 
2024 года </t>
  </si>
  <si>
    <t>Предложение по корректировке утвержденного плана 
2024 года</t>
  </si>
  <si>
    <t xml:space="preserve">Утвержденный план 
2025года </t>
  </si>
  <si>
    <t>Предложение по корректировке утвержденного плана 
2025 года</t>
  </si>
  <si>
    <t xml:space="preserve">Утвержденный план 
2026 года </t>
  </si>
  <si>
    <t>Предложение по корректировке утвержденного плана 
2026 года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</si>
  <si>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</si>
  <si>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</si>
  <si>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</si>
  <si>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</si>
  <si>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</si>
  <si>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</si>
  <si>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</si>
  <si>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</si>
  <si>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</si>
  <si>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</si>
  <si>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</si>
  <si>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</si>
  <si>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</si>
  <si>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</si>
  <si>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</si>
  <si>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</si>
  <si>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</si>
  <si>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</si>
  <si>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</si>
  <si>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</si>
  <si>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1.2.1.1.3</t>
  </si>
  <si>
    <t>1.2.3.1.1</t>
  </si>
  <si>
    <t>1.2.3.1.2</t>
  </si>
  <si>
    <t>1.2.3.1.3</t>
  </si>
  <si>
    <t>1.2.3.1.4</t>
  </si>
  <si>
    <t>1.2.3.1.5</t>
  </si>
  <si>
    <t>Установка приборов учета, класс напряжения 0,22 (0,4) кВ</t>
  </si>
  <si>
    <t>1.6.2.</t>
  </si>
  <si>
    <t>Приобретение экскаватора колесного</t>
  </si>
  <si>
    <t>Приобретение автогидроподъемника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</si>
  <si>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</si>
  <si>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</si>
  <si>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</si>
  <si>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</si>
  <si>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</si>
  <si>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</si>
  <si>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</si>
  <si>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</si>
  <si>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</si>
  <si>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</si>
  <si>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</si>
  <si>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L_010</t>
  </si>
  <si>
    <t>L_011</t>
  </si>
  <si>
    <t>L_012</t>
  </si>
  <si>
    <t>L_013</t>
  </si>
  <si>
    <t>L_016</t>
  </si>
  <si>
    <t>L_017</t>
  </si>
  <si>
    <t>L_018</t>
  </si>
  <si>
    <t>L_019</t>
  </si>
  <si>
    <t>L_020</t>
  </si>
  <si>
    <t>L_021</t>
  </si>
  <si>
    <t>L_023</t>
  </si>
  <si>
    <t>Реконструкция РТП- 6/0,4кВ в районе ул. Кирова, 25 в г. Владивосток</t>
  </si>
  <si>
    <t>Реконструкция КТПН-803 в районе ул.Снеговая, 18</t>
  </si>
  <si>
    <t>Строительство РП-10кВ (новое) в районе ПС Казармы</t>
  </si>
  <si>
    <t>Реконструкция сетей электроснабжения в д. Рождественка в Шкотовском муниципальном районе с установкой КТПН-10/0,4кВ и строительством сетей 10/0,4кВ</t>
  </si>
  <si>
    <t>Реконструкция ВЛ-6кВ от ПС "Горностай" Ф.5 до ТП-873</t>
  </si>
  <si>
    <t>Реконструкция ВЛ-6 от ПС "Горностай" Ф.17 до КТПН-874</t>
  </si>
  <si>
    <t>Реконструкция сетей электроснабжения в районе жилого дома по ул. Партизанская, 69 в с. Анисимовка Шкотовского муниципального района с установкой СТП-10/0,4кВ и строительством сетей 10/0,4кВ</t>
  </si>
  <si>
    <t xml:space="preserve"> на год 2022</t>
  </si>
  <si>
    <t>Год раскрытия информации: 2021 год</t>
  </si>
  <si>
    <t xml:space="preserve"> на год 2023</t>
  </si>
  <si>
    <t xml:space="preserve"> на год 2024</t>
  </si>
  <si>
    <t xml:space="preserve"> на год 2025</t>
  </si>
  <si>
    <t xml:space="preserve"> на год 2026</t>
  </si>
  <si>
    <t>год 2022</t>
  </si>
  <si>
    <t>год 2023</t>
  </si>
  <si>
    <t>год 2024</t>
  </si>
  <si>
    <t>год 2025</t>
  </si>
  <si>
    <t>год 2026</t>
  </si>
  <si>
    <t>Улучшение качества и надежности электроснабжения</t>
  </si>
  <si>
    <t>Изменение категории надежности электроснабжения, увеличение трансформаторной мощности</t>
  </si>
  <si>
    <t>Установка ТП в центре электрических нагрузок, формирование отдельных групп 0,4кВ с целью разгрузки сетей и повышения качества и надежности электроснабжения</t>
  </si>
  <si>
    <t>Установка ТП в центре электрических нагрузок,  повышение качества и надежности электроснабжения</t>
  </si>
  <si>
    <t>обеспечение в соответствии с пунктом 5 статьи 37 Федерального закона "Об электроэнергетике" коммерческого учета электрической энергии (мощности), в том числе посредством интеллектуальных систем учета электрической энергии (мощности)</t>
  </si>
  <si>
    <t>проверка</t>
  </si>
  <si>
    <t>2022 Год</t>
  </si>
  <si>
    <t>2023 Год</t>
  </si>
  <si>
    <t>2024 Год</t>
  </si>
  <si>
    <t>2025 Год</t>
  </si>
  <si>
    <t>2026 Год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</si>
  <si>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2023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</si>
  <si>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2024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</si>
  <si>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2025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</si>
  <si>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2026</t>
    </r>
  </si>
  <si>
    <t>Год 2022</t>
  </si>
  <si>
    <t>Год 2023</t>
  </si>
  <si>
    <t>Год 2024</t>
  </si>
  <si>
    <t>Год 2025</t>
  </si>
  <si>
    <t>Год 2026</t>
  </si>
  <si>
    <t xml:space="preserve">Приказ Минэнерго России от 17.01.2019 N 10, сметные расчеты </t>
  </si>
  <si>
    <t>Сметные расчеты</t>
  </si>
  <si>
    <t>Приложение № 1</t>
  </si>
  <si>
    <t>от 13.04.2017 № 310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</si>
  <si>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</si>
  <si>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</si>
  <si>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</si>
  <si>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>ООО "Дальневосточные электрические сети"</t>
  </si>
  <si>
    <t xml:space="preserve">Субъект Российской Федерации: </t>
  </si>
  <si>
    <t xml:space="preserve">Год раскрытия (предоставления) информации: </t>
  </si>
  <si>
    <t xml:space="preserve"> год</t>
  </si>
  <si>
    <t>1. Финансово-экономическая модель деятельности субъекта электроэнергетики</t>
  </si>
  <si>
    <t>Показатель</t>
  </si>
  <si>
    <t>Ед. изм.</t>
  </si>
  <si>
    <t>Факт</t>
  </si>
  <si>
    <t>Прогноз (Факт)</t>
  </si>
  <si>
    <t>План (Утвержденный план)</t>
  </si>
  <si>
    <t>БЮДЖЕТ ДОХОДОВ И РАСХОДОВ</t>
  </si>
  <si>
    <t>Выручка от реализации товаров (работ, услуг) всего, в том числе *:</t>
  </si>
  <si>
    <t>млн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</si>
  <si>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</si>
  <si>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</si>
  <si>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</si>
  <si>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</si>
  <si>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</si>
  <si>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</si>
  <si>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</si>
  <si>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</si>
  <si>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</si>
  <si>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</si>
  <si>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</si>
  <si>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</si>
  <si>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</si>
  <si>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</si>
  <si>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</si>
  <si>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</si>
  <si>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</si>
  <si>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</si>
  <si>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</si>
  <si>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</si>
  <si>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</si>
  <si>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</si>
  <si>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</si>
  <si>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</si>
  <si>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</si>
  <si>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</si>
  <si>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</si>
  <si>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</si>
  <si>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</si>
  <si>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</si>
  <si>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</si>
  <si>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</si>
  <si>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</si>
  <si>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</si>
  <si>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</si>
  <si>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</si>
  <si>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</si>
  <si>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</si>
  <si>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</si>
  <si>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</si>
  <si>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</si>
  <si>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</si>
  <si>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</si>
  <si>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</si>
  <si>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</si>
  <si>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</si>
  <si>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</si>
  <si>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</si>
  <si>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</si>
  <si>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</si>
  <si>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</si>
  <si>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</si>
  <si>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</si>
  <si>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</si>
  <si>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</si>
  <si>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</si>
  <si>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</si>
  <si>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</si>
  <si>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</si>
  <si>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</si>
  <si>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</si>
  <si>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</si>
  <si>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</si>
  <si>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</si>
  <si>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</si>
  <si>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</si>
  <si>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</si>
  <si>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</si>
  <si>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</si>
  <si>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</si>
  <si>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</si>
  <si>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</si>
  <si>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</si>
  <si>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</si>
  <si>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</si>
  <si>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</si>
  <si>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</si>
  <si>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</si>
  <si>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</si>
  <si>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</si>
  <si>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</si>
  <si>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</si>
  <si>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</si>
  <si>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</si>
  <si>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</si>
  <si>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</si>
  <si>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</si>
  <si>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</si>
  <si>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</si>
  <si>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</si>
  <si>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</si>
  <si>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</si>
  <si>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</si>
  <si>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</si>
  <si>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</si>
  <si>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</si>
  <si>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</si>
  <si>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</si>
  <si>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</si>
  <si>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</si>
  <si>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</si>
  <si>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</si>
  <si>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</si>
  <si>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</si>
  <si>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</si>
  <si>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</si>
  <si>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</si>
  <si>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</si>
  <si>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</si>
  <si>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</si>
  <si>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</si>
  <si>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</si>
  <si>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</si>
  <si>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</si>
  <si>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</si>
  <si>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</si>
  <si>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</si>
  <si>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</si>
  <si>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</si>
  <si>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</si>
  <si>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</si>
  <si>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</si>
  <si>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</si>
  <si>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</si>
  <si>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</si>
  <si>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</si>
  <si>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</si>
  <si>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</si>
  <si>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</si>
  <si>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</si>
  <si>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</si>
  <si>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</si>
  <si>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</si>
  <si>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</si>
  <si>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</si>
  <si>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</si>
  <si>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</si>
  <si>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</si>
  <si>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</si>
  <si>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</si>
  <si>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</si>
  <si>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</si>
  <si>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</si>
  <si>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</si>
  <si>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</si>
  <si>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</si>
  <si>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</si>
  <si>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</si>
  <si>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</si>
  <si>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</si>
  <si>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</si>
  <si>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</si>
  <si>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</si>
  <si>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</si>
  <si>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</si>
  <si>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</si>
  <si>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</si>
  <si>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</si>
  <si>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</si>
  <si>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</si>
  <si>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</si>
  <si>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</si>
  <si>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</si>
  <si>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</si>
  <si>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</si>
  <si>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</si>
  <si>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</si>
  <si>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</si>
  <si>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</si>
  <si>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</si>
  <si>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</si>
  <si>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</si>
  <si>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</si>
  <si>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</si>
  <si>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</si>
  <si>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</si>
  <si>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</si>
  <si>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</si>
  <si>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</si>
  <si>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</si>
  <si>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</si>
  <si>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</si>
  <si>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</si>
  <si>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</si>
  <si>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</si>
  <si>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</si>
  <si>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</si>
  <si>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</si>
  <si>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</si>
  <si>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</si>
  <si>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</si>
  <si>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</si>
  <si>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</si>
  <si>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</si>
  <si>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</si>
  <si>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</si>
  <si>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</si>
  <si>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</si>
  <si>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</si>
  <si>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</si>
  <si>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</si>
  <si>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</si>
  <si>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</si>
  <si>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</si>
  <si>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</si>
  <si>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</si>
  <si>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</si>
  <si>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</si>
  <si>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</si>
  <si>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</si>
  <si>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</si>
  <si>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</si>
  <si>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</si>
  <si>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</si>
  <si>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</si>
  <si>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</si>
  <si>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</si>
  <si>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</si>
  <si>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</si>
  <si>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</si>
  <si>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</si>
  <si>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</si>
  <si>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</si>
  <si>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</si>
  <si>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</si>
  <si>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</si>
  <si>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</si>
  <si>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</si>
  <si>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</si>
  <si>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</si>
  <si>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</si>
  <si>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</si>
  <si>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</si>
  <si>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</si>
  <si>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</si>
  <si>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</si>
  <si>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</si>
  <si>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</si>
  <si>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</si>
  <si>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</si>
  <si>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</si>
  <si>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</si>
  <si>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</si>
  <si>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</si>
  <si>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</si>
  <si>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</si>
  <si>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</si>
  <si>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</si>
  <si>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</si>
  <si>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</si>
  <si>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</si>
  <si>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</si>
  <si>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</si>
  <si>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</si>
  <si>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</si>
  <si>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</si>
  <si>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</si>
  <si>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</si>
  <si>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</si>
  <si>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</si>
  <si>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</si>
  <si>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</si>
  <si>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</si>
  <si>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</si>
  <si>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</si>
  <si>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</si>
  <si>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</si>
  <si>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</si>
  <si>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</si>
  <si>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</si>
  <si>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</si>
  <si>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</si>
  <si>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</si>
  <si>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</si>
  <si>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</si>
  <si>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</si>
  <si>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</si>
  <si>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</si>
  <si>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</si>
  <si>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</si>
  <si>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</si>
  <si>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</si>
  <si>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</si>
  <si>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</si>
  <si>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</si>
  <si>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</si>
  <si>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</si>
  <si>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</si>
  <si>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</si>
  <si>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</si>
  <si>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</si>
  <si>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</si>
  <si>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</si>
  <si>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</si>
  <si>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</si>
  <si>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</si>
  <si>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</si>
  <si>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</si>
  <si>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</si>
  <si>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</si>
  <si>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</si>
  <si>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</si>
  <si>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</si>
  <si>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</si>
  <si>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</si>
  <si>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</si>
  <si>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</si>
  <si>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</si>
  <si>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</si>
  <si>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</si>
  <si>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</si>
  <si>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</si>
  <si>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</si>
  <si>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</si>
  <si>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</si>
  <si>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</si>
  <si>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</si>
  <si>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</si>
  <si>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</si>
  <si>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 (НДС)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</si>
  <si>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</si>
  <si>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</si>
  <si>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</si>
  <si>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</si>
  <si>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</si>
  <si>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</si>
  <si>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</si>
  <si>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</si>
  <si>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</si>
  <si>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</si>
  <si>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</si>
  <si>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</si>
  <si>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</si>
  <si>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</si>
  <si>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</si>
  <si>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</si>
  <si>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</si>
  <si>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</si>
  <si>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</si>
  <si>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</si>
  <si>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</si>
  <si>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</si>
  <si>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</si>
  <si>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</si>
  <si>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</si>
  <si>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</si>
  <si>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</si>
  <si>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</si>
  <si>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</si>
  <si>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</si>
  <si>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</si>
  <si>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</si>
  <si>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</si>
  <si>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</si>
  <si>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</si>
  <si>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</si>
  <si>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</si>
  <si>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</si>
  <si>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</si>
  <si>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</si>
  <si>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</si>
  <si>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</si>
  <si>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</si>
  <si>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</si>
  <si>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</si>
  <si>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</si>
  <si>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</si>
  <si>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</si>
  <si>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</si>
  <si>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</si>
  <si>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</si>
  <si>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</si>
  <si>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</si>
  <si>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</si>
  <si>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</si>
  <si>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</si>
  <si>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</si>
  <si>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</si>
  <si>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</si>
  <si>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</si>
  <si>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</si>
  <si>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</si>
  <si>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</si>
  <si>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</si>
  <si>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</si>
  <si>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</si>
  <si>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</si>
  <si>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</si>
  <si>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</si>
  <si>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</si>
  <si>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</si>
  <si>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</si>
  <si>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</si>
  <si>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</si>
  <si>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</si>
  <si>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</si>
  <si>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</si>
  <si>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</si>
  <si>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</si>
  <si>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</si>
  <si>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</si>
  <si>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</si>
  <si>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</si>
  <si>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</si>
  <si>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</si>
  <si>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</si>
  <si>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</si>
  <si>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</si>
  <si>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</si>
  <si>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</si>
  <si>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</si>
  <si>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</si>
  <si>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</si>
  <si>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</si>
  <si>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</si>
  <si>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</si>
  <si>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</si>
  <si>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</si>
  <si>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</si>
  <si>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</si>
  <si>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</si>
  <si>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</si>
  <si>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</si>
  <si>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</si>
  <si>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</si>
  <si>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</si>
  <si>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</si>
  <si>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</si>
  <si>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</si>
  <si>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</si>
  <si>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</si>
  <si>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</si>
  <si>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</si>
  <si>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</si>
  <si>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</si>
  <si>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</si>
  <si>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</si>
  <si>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</si>
  <si>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</si>
  <si>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</si>
  <si>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</si>
  <si>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</si>
  <si>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</si>
  <si>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</si>
  <si>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</si>
  <si>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</si>
  <si>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</si>
  <si>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</si>
  <si>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</si>
  <si>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</si>
  <si>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</si>
  <si>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</si>
  <si>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</si>
  <si>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</si>
  <si>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</si>
  <si>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</si>
  <si>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</si>
  <si>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</si>
  <si>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</si>
  <si>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</si>
  <si>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</si>
  <si>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</si>
  <si>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</si>
  <si>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</si>
  <si>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</si>
  <si>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</si>
  <si>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</si>
  <si>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</si>
  <si>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</si>
  <si>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</si>
  <si>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</si>
  <si>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</si>
  <si>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</si>
  <si>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</si>
  <si>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</si>
  <si>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</si>
  <si>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</si>
  <si>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</si>
  <si>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</si>
  <si>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</si>
  <si>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</si>
  <si>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</si>
  <si>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</si>
  <si>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</si>
  <si>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</si>
  <si>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</si>
  <si>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</si>
  <si>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</si>
  <si>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</si>
  <si>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</si>
  <si>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</si>
  <si>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</si>
  <si>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</si>
  <si>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</si>
  <si>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</si>
  <si>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</si>
  <si>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</si>
  <si>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</si>
  <si>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</si>
  <si>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</si>
  <si>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</si>
  <si>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</si>
  <si>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</si>
  <si>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</si>
  <si>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</si>
  <si>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</si>
  <si>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</si>
  <si>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</si>
  <si>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</si>
  <si>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</si>
  <si>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</si>
  <si>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</si>
  <si>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</si>
  <si>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</si>
  <si>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</si>
  <si>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</si>
  <si>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</si>
  <si>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</si>
  <si>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</si>
  <si>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</si>
  <si>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</si>
  <si>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</si>
  <si>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</si>
  <si>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</si>
  <si>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</si>
  <si>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</si>
  <si>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</si>
  <si>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</si>
  <si>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</si>
  <si>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</si>
  <si>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</si>
  <si>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</si>
  <si>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</si>
  <si>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</si>
  <si>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</si>
  <si>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</si>
  <si>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</si>
  <si>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</si>
  <si>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</si>
  <si>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</si>
  <si>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</si>
  <si>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</si>
  <si>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</si>
  <si>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</si>
  <si>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</si>
  <si>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</si>
  <si>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</si>
  <si>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</si>
  <si>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</si>
  <si>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</si>
  <si>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</si>
  <si>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</si>
  <si>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</si>
  <si>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</si>
  <si>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</si>
  <si>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</si>
  <si>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</si>
  <si>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</si>
  <si>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</si>
  <si>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</si>
  <si>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</si>
  <si>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</si>
  <si>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</si>
  <si>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</si>
  <si>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</si>
  <si>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</si>
  <si>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</si>
  <si>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</si>
  <si>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</si>
  <si>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</si>
  <si>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</si>
  <si>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</si>
  <si>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</si>
  <si>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</si>
  <si>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</si>
  <si>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</si>
  <si>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</si>
  <si>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</si>
  <si>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</si>
  <si>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</si>
  <si>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</si>
  <si>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</si>
  <si>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</si>
  <si>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</si>
  <si>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</si>
  <si>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</si>
  <si>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</si>
  <si>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</si>
  <si>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</si>
  <si>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</si>
  <si>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</si>
  <si>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</si>
  <si>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</si>
  <si>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</si>
  <si>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</si>
  <si>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</si>
  <si>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</si>
  <si>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</si>
  <si>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</si>
  <si>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</si>
  <si>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</si>
  <si>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</si>
  <si>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</si>
  <si>
    <t>Владивостокский городской округ / Шкотовский муниципальный район</t>
  </si>
  <si>
    <t>РТП-6/0,4кВ Мой дом</t>
  </si>
  <si>
    <t>ВЛ-6 кВ ф.17 ПС "Горностай" - ТП874</t>
  </si>
  <si>
    <t>иных источников</t>
  </si>
  <si>
    <t>час</t>
  </si>
  <si>
    <t>шт.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</si>
  <si>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), час.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</si>
  <si>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), шт.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</si>
  <si>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color theme="1"/>
        <rFont val="Times New Roman"/>
        <family val="1"/>
        <charset val="204"/>
      </rPr>
      <t>тпр</t>
    </r>
    <r>
      <rPr>
        <sz val="12"/>
        <color theme="1"/>
        <rFont val="Times New Roman"/>
        <family val="1"/>
        <charset val="204"/>
      </rPr>
      <t>)</t>
    </r>
  </si>
  <si>
    <t>н</t>
  </si>
  <si>
    <t>не применимо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</si>
  <si>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</si>
  <si>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Показатель развития систем учета электрической энергии (мощности)</t>
  </si>
  <si>
    <t>Наименование количественного показателя, соответствующего цели</t>
  </si>
  <si>
    <t xml:space="preserve">План
</t>
  </si>
  <si>
    <t>Факт 
(Предложение по корректировке утвержденного плана)</t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</si>
  <si>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2023</t>
    </r>
    <r>
      <rPr>
        <sz val="12"/>
        <rFont val="Times New Roman"/>
        <family val="1"/>
        <charset val="204"/>
      </rPr>
      <t xml:space="preserve">  год</t>
    </r>
  </si>
  <si>
    <t>В.А.Юнцова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</si>
  <si>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2023</t>
    </r>
    <r>
      <rPr>
        <sz val="12"/>
        <rFont val="Times New Roman"/>
        <family val="1"/>
        <charset val="204"/>
      </rPr>
      <t xml:space="preserve">  год</t>
    </r>
  </si>
  <si>
    <t>Прогноз социально-экономического развития Российской Федерации на 2023 год и на плановый период 2024 и 2025 годов
15 февраля 2023</t>
  </si>
  <si>
    <t>Год раскрытия информации: 2023 год</t>
  </si>
  <si>
    <t>K_013</t>
  </si>
  <si>
    <t>Реконструкция РТП- 6/0,4кВ Мой дом в РУ 0,4 кВ. (замена оборудования) ул. Кирова, 25 в г. Владивосток</t>
  </si>
  <si>
    <t>К_010</t>
  </si>
  <si>
    <t>К_014</t>
  </si>
  <si>
    <t>К_015</t>
  </si>
  <si>
    <t>Программное обеспечение "Пирамида" сбор, хранение, обработка данных по ПУ</t>
  </si>
  <si>
    <t>1.6.3.</t>
  </si>
  <si>
    <t>К_024</t>
  </si>
  <si>
    <t>Приобретение экскаватора гусеничного</t>
  </si>
  <si>
    <t>К_022</t>
  </si>
  <si>
    <t>1.2.3.1.6</t>
  </si>
  <si>
    <t>Реконструкция КЛ-6 от РТП-65 до точки врезки в сторону ПС "Бурная" Ф.201, ф.310</t>
  </si>
  <si>
    <t>К_025</t>
  </si>
  <si>
    <t>К_026</t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</si>
  <si>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2023 </t>
    </r>
    <r>
      <rPr>
        <sz val="12"/>
        <rFont val="Times New Roman"/>
        <family val="1"/>
        <charset val="204"/>
      </rPr>
      <t xml:space="preserve"> год</t>
    </r>
  </si>
  <si>
    <t>4.5</t>
  </si>
  <si>
    <t>4.6</t>
  </si>
  <si>
    <t>Утвержденные плановые значения показателей приведены в соответствии с  Приказом Министерства энергетики и газоснабжения Приморского края №45пр-191 от 28.10.2021г.</t>
  </si>
  <si>
    <r>
      <t xml:space="preserve">показатель увеличения мощности силовых трансформаторов </t>
    </r>
    <r>
      <rPr>
        <sz val="11"/>
        <color theme="1"/>
        <rFont val="Calibri"/>
        <family val="2"/>
        <charset val="204"/>
      </rPr>
      <t>∆</t>
    </r>
    <r>
      <rPr>
        <sz val="11"/>
        <color theme="1"/>
        <rFont val="Times New Roman"/>
        <family val="1"/>
        <charset val="204"/>
      </rPr>
      <t>Ртр, МВА</t>
    </r>
  </si>
  <si>
    <t>K_010</t>
  </si>
  <si>
    <t>K_014</t>
  </si>
  <si>
    <t>K_015</t>
  </si>
  <si>
    <t>K_024</t>
  </si>
  <si>
    <t>K_022</t>
  </si>
  <si>
    <t>K_026</t>
  </si>
  <si>
    <t xml:space="preserve">Год раскрытия информации:   2023 год </t>
  </si>
  <si>
    <t>01.2021</t>
  </si>
  <si>
    <t>Годы (утвержденный план)</t>
  </si>
  <si>
    <t>Годы (предложение по корректировке утвержденного плана)</t>
  </si>
  <si>
    <t>16.02.2023</t>
  </si>
  <si>
    <t>K_018</t>
  </si>
  <si>
    <t>K_019</t>
  </si>
  <si>
    <t xml:space="preserve">Фактический объем освоения капитальных вложений на 01.01.года 
2022, млн рублей 
(без НДС) </t>
  </si>
  <si>
    <t>увеличение стомости материалов</t>
  </si>
  <si>
    <t>выполнение работ хоз.способом</t>
  </si>
  <si>
    <t>производственная необходимость</t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</si>
  <si>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2023</t>
    </r>
    <r>
      <rPr>
        <sz val="12"/>
        <rFont val="Times New Roman"/>
        <family val="1"/>
        <charset val="204"/>
      </rPr>
      <t xml:space="preserve"> год</t>
    </r>
  </si>
  <si>
    <t>План на    ______ года</t>
  </si>
  <si>
    <t>План на  ________ года</t>
  </si>
  <si>
    <t>1.2.2.1.5</t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</si>
  <si>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2023</t>
    </r>
    <r>
      <rPr>
        <sz val="12"/>
        <rFont val="Times New Roman"/>
        <family val="1"/>
        <charset val="204"/>
      </rPr>
      <t xml:space="preserve">  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</si>
  <si>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2023 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</si>
  <si>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2023 </t>
    </r>
    <r>
      <rPr>
        <sz val="14"/>
        <rFont val="Times New Roman"/>
        <family val="1"/>
        <charset val="204"/>
      </rPr>
      <t>год</t>
    </r>
  </si>
  <si>
    <t>Год раскрытия информации:  2023  год</t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</si>
  <si>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2023</t>
    </r>
    <r>
      <rPr>
        <sz val="12"/>
        <rFont val="Times New Roman"/>
        <family val="1"/>
        <charset val="204"/>
      </rPr>
      <t xml:space="preserve">  год</t>
    </r>
  </si>
  <si>
    <t>ВЛ-6 кВ ф.5  ПС "Горностай" - ТП873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</si>
  <si>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2023</t>
    </r>
    <r>
      <rPr>
        <sz val="12"/>
        <rFont val="Times New Roman"/>
        <family val="1"/>
        <charset val="204"/>
      </rPr>
      <t xml:space="preserve"> год</t>
    </r>
  </si>
  <si>
    <t>2023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</si>
  <si>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деятельности, техперевооружение</t>
  </si>
  <si>
    <t>КТПН-803 в районе ул.Снеговая, 18</t>
  </si>
  <si>
    <t>РП-10кВ  в районе ПС Казармы</t>
  </si>
  <si>
    <t>ЛЭП-10/0,4кВ ф. 17 ПС ПЕсчанная КТПН-1</t>
  </si>
  <si>
    <t>КЛ-6 от РТП-65 ПС "Бурная" Ф.201, ф.310</t>
  </si>
  <si>
    <t>ЛЭП-10/0,4кВ от СТП Дальний Хутор</t>
  </si>
  <si>
    <t>Источники финансирования инвестиционной программы субъекта электроэнергетики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</si>
</sst>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0\ _₽_-;\-* #,##0.000\ _₽_-;_-* &quot;-&quot;???\ _₽_-;_-@_-"/>
    <numFmt numFmtId="165" formatCode="[$-419]mmmm\ yyyy;@"/>
    <numFmt numFmtId="166" formatCode="0_ ;\-0\ "/>
    <numFmt numFmtId="167" formatCode="_-* #,##0.000\ _₽_-;\-* #,##0.000\ _₽_-;_-* &quot;-&quot;??\ _₽_-;_-@_-"/>
    <numFmt numFmtId="168" formatCode="_-* #,##0.0\ _₽_-;\-* #,##0.0\ _₽_-;_-* &quot;-&quot;???\ _₽_-;_-@_-"/>
    <numFmt numFmtId="169" formatCode="_-* #,##0\ _₽_-;\-* #,##0\ _₽_-;_-* &quot;-&quot;???\ _₽_-;_-@_-"/>
    <numFmt numFmtId="170" formatCode="_-* #,##0.00\ _₽_-;\-* #,##0.00\ _₽_-;_-* &quot;-&quot;\ _₽_-;_-@_-"/>
    <numFmt numFmtId="171" formatCode="_-* #,##0.000\ _₽_-;\-* #,##0.000\ _₽_-;_-* &quot;-&quot;\ _₽_-;_-@_-"/>
    <numFmt numFmtId="172" formatCode="#,##0.000"/>
    <numFmt numFmtId="173" formatCode="0.000"/>
    <numFmt numFmtId="174" formatCode="#,##0.0"/>
    <numFmt numFmtId="175" formatCode="0.00000"/>
    <numFmt numFmtId="176" formatCode="_-* #,##0.00000\ _₽_-;\-* #,##0.00000\ _₽_-;_-* &quot;-&quot;???\ _₽_-;_-@_-"/>
    <numFmt numFmtId="177" formatCode="#,##0.000\ _₽;\-#,##0.000\ _₽"/>
  </numFmts>
  <fonts count="7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8"/>
      <name val="Arial"/>
      <family val="2"/>
    </font>
    <font>
      <sz val="7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sz val="8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sz val="5.85"/>
      <name val="Times New Roman"/>
      <family val="1"/>
      <charset val="204"/>
    </font>
    <font>
      <sz val="5.85"/>
      <color rgb="FFFF0000"/>
      <name val="Times New Roman"/>
      <family val="1"/>
      <charset val="204"/>
    </font>
    <font>
      <b/>
      <sz val="5.85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11" fillId="0" borderId="0"/>
    <xf numFmtId="0" fontId="2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43" fillId="0" borderId="0"/>
    <xf numFmtId="0" fontId="49" fillId="0" borderId="0"/>
    <xf numFmtId="0" fontId="2" fillId="0" borderId="0"/>
  </cellStyleXfs>
  <cellXfs count="910">
    <xf numFmtId="0" fontId="0" fillId="0" borderId="0" xfId="0"/>
    <xf numFmtId="0" fontId="5" fillId="0" borderId="0" xfId="1" applyFont="1" applyFill="1"/>
    <xf numFmtId="0" fontId="6" fillId="0" borderId="0" xfId="1" applyFont="1" applyFill="1"/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7" fillId="0" borderId="0" xfId="0" applyFont="1"/>
    <xf numFmtId="0" fontId="6" fillId="0" borderId="2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 wrapText="1"/>
    </xf>
    <xf numFmtId="0" fontId="3" fillId="0" borderId="0" xfId="0" applyFont="1"/>
    <xf numFmtId="0" fontId="3" fillId="4" borderId="0" xfId="0" applyFont="1" applyFill="1"/>
    <xf numFmtId="49" fontId="7" fillId="4" borderId="2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3" fillId="3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0" xfId="0" applyFont="1" applyFill="1"/>
    <xf numFmtId="0" fontId="11" fillId="0" borderId="13" xfId="0" applyFont="1" applyFill="1" applyBorder="1" applyAlignment="1">
      <alignment vertical="center" textRotation="90" wrapText="1"/>
    </xf>
    <xf numFmtId="1" fontId="11" fillId="0" borderId="0" xfId="0" applyNumberFormat="1" applyFont="1" applyFill="1"/>
    <xf numFmtId="1" fontId="0" fillId="0" borderId="0" xfId="0" applyNumberFormat="1"/>
    <xf numFmtId="165" fontId="11" fillId="0" borderId="0" xfId="0" applyNumberFormat="1" applyFont="1" applyFill="1"/>
    <xf numFmtId="165" fontId="0" fillId="0" borderId="0" xfId="0" applyNumberFormat="1"/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/>
    </xf>
    <xf numFmtId="0" fontId="14" fillId="0" borderId="0" xfId="2" applyFont="1"/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0" fontId="7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4" fillId="0" borderId="0" xfId="2" applyFont="1" applyAlignment="1">
      <alignment horizontal="right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11" fillId="0" borderId="0" xfId="0" applyFont="1" applyFill="1" applyAlignment="1"/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2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14" fillId="0" borderId="1" xfId="2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/>
    <xf numFmtId="0" fontId="14" fillId="0" borderId="0" xfId="2" applyFont="1" applyAlignment="1">
      <alignment horizontal="center" vertical="center"/>
    </xf>
    <xf numFmtId="0" fontId="26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4" fillId="0" borderId="0" xfId="2" applyFont="1" applyFill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3" fontId="3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wrapText="1"/>
    </xf>
    <xf numFmtId="0" fontId="14" fillId="0" borderId="0" xfId="2" applyFont="1" applyFill="1"/>
    <xf numFmtId="4" fontId="11" fillId="0" borderId="0" xfId="0" applyNumberFormat="1" applyFont="1" applyFill="1" applyBorder="1" applyAlignment="1">
      <alignment wrapText="1"/>
    </xf>
    <xf numFmtId="4" fontId="11" fillId="0" borderId="0" xfId="0" applyNumberFormat="1" applyFont="1" applyFill="1"/>
    <xf numFmtId="4" fontId="11" fillId="0" borderId="0" xfId="0" applyNumberFormat="1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0" fontId="10" fillId="0" borderId="0" xfId="0" applyFont="1" applyFill="1" applyAlignment="1"/>
    <xf numFmtId="1" fontId="35" fillId="0" borderId="0" xfId="0" applyNumberFormat="1" applyFont="1" applyFill="1" applyBorder="1" applyAlignment="1">
      <alignment vertical="top"/>
    </xf>
    <xf numFmtId="0" fontId="11" fillId="0" borderId="1" xfId="2" applyFont="1" applyFill="1" applyBorder="1" applyAlignment="1">
      <alignment horizontal="center" vertical="center" textRotation="90" wrapText="1"/>
    </xf>
    <xf numFmtId="164" fontId="11" fillId="0" borderId="0" xfId="0" applyNumberFormat="1" applyFont="1" applyFill="1"/>
    <xf numFmtId="166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horizontal="center" vertical="center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7" fillId="0" borderId="0" xfId="4" applyFont="1" applyFill="1" applyBorder="1" applyAlignment="1"/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5" fillId="0" borderId="0" xfId="5" applyFont="1" applyFill="1" applyBorder="1" applyAlignment="1">
      <alignment horizontal="center"/>
    </xf>
    <xf numFmtId="0" fontId="35" fillId="0" borderId="0" xfId="5" applyFont="1" applyFill="1" applyBorder="1" applyAlignment="1"/>
    <xf numFmtId="0" fontId="37" fillId="0" borderId="0" xfId="6" applyFont="1" applyFill="1" applyBorder="1" applyAlignment="1">
      <alignment vertical="center"/>
    </xf>
    <xf numFmtId="0" fontId="38" fillId="0" borderId="1" xfId="6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49" fontId="38" fillId="0" borderId="1" xfId="6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49" fontId="7" fillId="4" borderId="1" xfId="1" applyNumberFormat="1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1" fillId="0" borderId="0" xfId="2" applyFont="1" applyFill="1" applyAlignment="1">
      <alignment horizontal="right"/>
    </xf>
    <xf numFmtId="0" fontId="11" fillId="0" borderId="1" xfId="0" applyFont="1" applyFill="1" applyBorder="1"/>
    <xf numFmtId="0" fontId="11" fillId="0" borderId="0" xfId="7" applyFont="1"/>
    <xf numFmtId="0" fontId="37" fillId="0" borderId="0" xfId="4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42" fillId="0" borderId="1" xfId="6" applyFont="1" applyFill="1" applyBorder="1" applyAlignment="1">
      <alignment horizontal="center" vertical="center"/>
    </xf>
    <xf numFmtId="49" fontId="42" fillId="0" borderId="1" xfId="6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7" fillId="0" borderId="0" xfId="1" applyFont="1" applyFill="1" applyAlignment="1">
      <alignment horizontal="left" vertical="center"/>
    </xf>
    <xf numFmtId="0" fontId="7" fillId="0" borderId="0" xfId="2" applyFont="1" applyFill="1" applyAlignment="1"/>
    <xf numFmtId="0" fontId="6" fillId="0" borderId="0" xfId="1" applyFont="1" applyFill="1" applyBorder="1"/>
    <xf numFmtId="0" fontId="6" fillId="0" borderId="1" xfId="2" applyFont="1" applyFill="1" applyBorder="1" applyAlignment="1">
      <alignment horizontal="center" vertical="center" textRotation="90"/>
    </xf>
    <xf numFmtId="0" fontId="11" fillId="0" borderId="1" xfId="8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1" fillId="0" borderId="1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4" fillId="0" borderId="0" xfId="2" applyFont="1" applyFill="1" applyAlignment="1">
      <alignment horizontal="center"/>
    </xf>
    <xf numFmtId="0" fontId="14" fillId="0" borderId="0" xfId="2" applyFont="1" applyFill="1" applyAlignment="1">
      <alignment horizontal="right" vertical="center"/>
    </xf>
    <xf numFmtId="0" fontId="31" fillId="0" borderId="1" xfId="2" applyFont="1" applyFill="1" applyBorder="1" applyAlignment="1">
      <alignment horizontal="center" vertical="center" textRotation="90" wrapText="1"/>
    </xf>
    <xf numFmtId="49" fontId="14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14" fontId="14" fillId="0" borderId="1" xfId="2" applyNumberFormat="1" applyFont="1" applyBorder="1" applyAlignment="1">
      <alignment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0" fontId="33" fillId="4" borderId="0" xfId="0" applyFont="1" applyFill="1"/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35" fillId="0" borderId="0" xfId="0" applyFont="1" applyFill="1" applyAlignment="1">
      <alignment horizontal="center"/>
    </xf>
    <xf numFmtId="0" fontId="35" fillId="0" borderId="0" xfId="5" applyFon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ill="1" applyBorder="1"/>
    <xf numFmtId="0" fontId="0" fillId="4" borderId="0" xfId="0" applyFill="1"/>
    <xf numFmtId="0" fontId="38" fillId="0" borderId="1" xfId="6" applyFont="1" applyFill="1" applyBorder="1" applyAlignment="1">
      <alignment horizontal="center" vertical="center" textRotation="90" wrapText="1"/>
    </xf>
    <xf numFmtId="169" fontId="33" fillId="3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 wrapText="1"/>
    </xf>
    <xf numFmtId="169" fontId="33" fillId="4" borderId="1" xfId="0" applyNumberFormat="1" applyFont="1" applyFill="1" applyBorder="1" applyAlignment="1">
      <alignment horizontal="center" vertical="center" wrapText="1"/>
    </xf>
    <xf numFmtId="169" fontId="33" fillId="0" borderId="1" xfId="0" applyNumberFormat="1" applyFont="1" applyBorder="1" applyAlignment="1">
      <alignment horizontal="center" vertical="center" wrapText="1"/>
    </xf>
    <xf numFmtId="169" fontId="0" fillId="4" borderId="1" xfId="0" applyNumberFormat="1" applyFill="1" applyBorder="1"/>
    <xf numFmtId="41" fontId="33" fillId="3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0" fillId="0" borderId="0" xfId="0" applyFill="1"/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/>
    </xf>
    <xf numFmtId="169" fontId="3" fillId="3" borderId="1" xfId="0" applyNumberFormat="1" applyFont="1" applyFill="1" applyBorder="1" applyAlignment="1">
      <alignment horizontal="center" vertical="center"/>
    </xf>
    <xf numFmtId="169" fontId="3" fillId="4" borderId="1" xfId="0" applyNumberFormat="1" applyFont="1" applyFill="1" applyBorder="1" applyAlignment="1">
      <alignment horizontal="center" vertical="center"/>
    </xf>
    <xf numFmtId="170" fontId="3" fillId="3" borderId="1" xfId="0" applyNumberFormat="1" applyFont="1" applyFill="1" applyBorder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6" fillId="6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0" xfId="5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0" fontId="3" fillId="0" borderId="0" xfId="0" applyFont="1" applyFill="1"/>
    <xf numFmtId="41" fontId="0" fillId="6" borderId="1" xfId="0" applyNumberForma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9" fontId="17" fillId="6" borderId="1" xfId="0" applyNumberFormat="1" applyFont="1" applyFill="1" applyBorder="1" applyAlignment="1">
      <alignment horizontal="center" vertical="center" wrapText="1"/>
    </xf>
    <xf numFmtId="1" fontId="33" fillId="4" borderId="1" xfId="0" applyNumberFormat="1" applyFont="1" applyFill="1" applyBorder="1" applyAlignment="1">
      <alignment horizontal="center" vertical="center" wrapText="1"/>
    </xf>
    <xf numFmtId="1" fontId="33" fillId="3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1" fontId="33" fillId="4" borderId="1" xfId="0" applyNumberFormat="1" applyFont="1" applyFill="1" applyBorder="1" applyAlignment="1">
      <alignment horizontal="center" vertical="center" wrapText="1"/>
    </xf>
    <xf numFmtId="41" fontId="33" fillId="0" borderId="1" xfId="0" applyNumberFormat="1" applyFont="1" applyBorder="1" applyAlignment="1">
      <alignment horizontal="center" vertical="center" wrapText="1"/>
    </xf>
    <xf numFmtId="41" fontId="0" fillId="4" borderId="1" xfId="0" applyNumberFormat="1" applyFill="1" applyBorder="1"/>
    <xf numFmtId="41" fontId="0" fillId="0" borderId="1" xfId="0" applyNumberFormat="1" applyFill="1" applyBorder="1"/>
    <xf numFmtId="164" fontId="17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38" fillId="6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4" fillId="2" borderId="1" xfId="2" applyFont="1" applyFill="1" applyBorder="1" applyAlignment="1">
      <alignment horizontal="center" vertical="center"/>
    </xf>
    <xf numFmtId="0" fontId="50" fillId="0" borderId="0" xfId="8" applyFont="1"/>
    <xf numFmtId="0" fontId="50" fillId="0" borderId="0" xfId="8" applyFont="1" applyAlignment="1">
      <alignment horizontal="center"/>
    </xf>
    <xf numFmtId="0" fontId="50" fillId="0" borderId="0" xfId="8" applyFont="1" applyAlignment="1">
      <alignment horizontal="right"/>
    </xf>
    <xf numFmtId="0" fontId="51" fillId="0" borderId="0" xfId="8" applyFont="1"/>
    <xf numFmtId="0" fontId="51" fillId="0" borderId="0" xfId="8" applyFont="1" applyAlignment="1">
      <alignment horizontal="center"/>
    </xf>
    <xf numFmtId="0" fontId="52" fillId="0" borderId="0" xfId="8" applyFont="1"/>
    <xf numFmtId="0" fontId="52" fillId="0" borderId="0" xfId="8" applyFont="1" applyAlignment="1">
      <alignment horizontal="right"/>
    </xf>
    <xf numFmtId="49" fontId="52" fillId="0" borderId="10" xfId="8" applyNumberFormat="1" applyFont="1" applyBorder="1" applyAlignment="1">
      <alignment horizontal="center"/>
    </xf>
    <xf numFmtId="0" fontId="52" fillId="0" borderId="0" xfId="8" applyFont="1" applyAlignment="1">
      <alignment horizontal="left"/>
    </xf>
    <xf numFmtId="0" fontId="52" fillId="0" borderId="0" xfId="8" applyFont="1" applyAlignment="1">
      <alignment horizontal="center"/>
    </xf>
    <xf numFmtId="0" fontId="50" fillId="0" borderId="0" xfId="8" applyFont="1" applyAlignment="1">
      <alignment horizontal="left"/>
    </xf>
    <xf numFmtId="49" fontId="50" fillId="0" borderId="10" xfId="8" applyNumberFormat="1" applyFont="1" applyBorder="1" applyAlignment="1">
      <alignment horizontal="center"/>
    </xf>
    <xf numFmtId="0" fontId="53" fillId="0" borderId="0" xfId="8" applyFont="1" applyAlignment="1">
      <alignment horizontal="left" vertical="top"/>
    </xf>
    <xf numFmtId="0" fontId="54" fillId="0" borderId="0" xfId="8" applyFont="1" applyAlignment="1">
      <alignment vertical="center"/>
    </xf>
    <xf numFmtId="0" fontId="55" fillId="0" borderId="20" xfId="8" applyFont="1" applyBorder="1" applyAlignment="1">
      <alignment horizontal="center" vertical="center" wrapText="1"/>
    </xf>
    <xf numFmtId="0" fontId="55" fillId="0" borderId="21" xfId="8" applyFont="1" applyBorder="1" applyAlignment="1">
      <alignment horizontal="center" vertical="center" wrapText="1"/>
    </xf>
    <xf numFmtId="0" fontId="55" fillId="0" borderId="0" xfId="8" applyFont="1"/>
    <xf numFmtId="0" fontId="55" fillId="0" borderId="27" xfId="8" applyFont="1" applyBorder="1" applyAlignment="1">
      <alignment horizontal="center" vertical="center" wrapText="1"/>
    </xf>
    <xf numFmtId="0" fontId="55" fillId="0" borderId="1" xfId="8" applyFont="1" applyBorder="1" applyAlignment="1">
      <alignment horizontal="center" vertical="center" wrapText="1"/>
    </xf>
    <xf numFmtId="0" fontId="55" fillId="0" borderId="28" xfId="8" applyFont="1" applyBorder="1" applyAlignment="1">
      <alignment horizontal="center" vertical="center" wrapText="1"/>
    </xf>
    <xf numFmtId="0" fontId="56" fillId="0" borderId="33" xfId="8" applyFont="1" applyBorder="1" applyAlignment="1">
      <alignment horizontal="center" vertical="top"/>
    </xf>
    <xf numFmtId="0" fontId="56" fillId="0" borderId="34" xfId="8" applyFont="1" applyBorder="1" applyAlignment="1">
      <alignment horizontal="center" vertical="top"/>
    </xf>
    <xf numFmtId="0" fontId="56" fillId="0" borderId="35" xfId="8" applyFont="1" applyBorder="1" applyAlignment="1">
      <alignment horizontal="center" vertical="top"/>
    </xf>
    <xf numFmtId="0" fontId="56" fillId="0" borderId="35" xfId="8" applyFont="1" applyFill="1" applyBorder="1" applyAlignment="1">
      <alignment horizontal="center" vertical="top"/>
    </xf>
    <xf numFmtId="0" fontId="56" fillId="0" borderId="0" xfId="8" applyFont="1" applyAlignment="1">
      <alignment vertical="top"/>
    </xf>
    <xf numFmtId="0" fontId="51" fillId="0" borderId="0" xfId="8" applyFont="1" applyAlignment="1">
      <alignment vertical="top"/>
    </xf>
    <xf numFmtId="0" fontId="57" fillId="6" borderId="41" xfId="8" applyFont="1" applyFill="1" applyBorder="1" applyAlignment="1">
      <alignment horizontal="center" vertical="center"/>
    </xf>
    <xf numFmtId="0" fontId="57" fillId="6" borderId="21" xfId="8" applyFont="1" applyFill="1" applyBorder="1" applyAlignment="1">
      <alignment horizontal="center" vertical="center"/>
    </xf>
    <xf numFmtId="172" fontId="57" fillId="6" borderId="21" xfId="8" applyNumberFormat="1" applyFont="1" applyFill="1" applyBorder="1" applyAlignment="1">
      <alignment horizontal="center" vertical="center"/>
    </xf>
    <xf numFmtId="0" fontId="57" fillId="0" borderId="0" xfId="8" applyFont="1" applyAlignment="1">
      <alignment vertical="center"/>
    </xf>
    <xf numFmtId="0" fontId="57" fillId="0" borderId="28" xfId="8" applyFont="1" applyBorder="1" applyAlignment="1">
      <alignment horizontal="center" vertical="center"/>
    </xf>
    <xf numFmtId="0" fontId="57" fillId="0" borderId="27" xfId="8" applyFont="1" applyBorder="1" applyAlignment="1">
      <alignment horizontal="center" vertical="center"/>
    </xf>
    <xf numFmtId="0" fontId="57" fillId="0" borderId="1" xfId="8" applyFont="1" applyBorder="1" applyAlignment="1">
      <alignment horizontal="center" vertical="center"/>
    </xf>
    <xf numFmtId="0" fontId="57" fillId="5" borderId="28" xfId="8" applyFont="1" applyFill="1" applyBorder="1" applyAlignment="1">
      <alignment horizontal="center" vertical="center"/>
    </xf>
    <xf numFmtId="0" fontId="57" fillId="5" borderId="1" xfId="8" applyFont="1" applyFill="1" applyBorder="1" applyAlignment="1">
      <alignment horizontal="center" vertical="center"/>
    </xf>
    <xf numFmtId="172" fontId="57" fillId="5" borderId="1" xfId="8" applyNumberFormat="1" applyFont="1" applyFill="1" applyBorder="1" applyAlignment="1">
      <alignment horizontal="center" vertical="center"/>
    </xf>
    <xf numFmtId="173" fontId="57" fillId="5" borderId="1" xfId="8" applyNumberFormat="1" applyFont="1" applyFill="1" applyBorder="1" applyAlignment="1">
      <alignment horizontal="center" vertical="center"/>
    </xf>
    <xf numFmtId="0" fontId="58" fillId="5" borderId="1" xfId="8" applyFont="1" applyFill="1" applyBorder="1" applyAlignment="1">
      <alignment horizontal="center" vertical="center"/>
    </xf>
    <xf numFmtId="0" fontId="57" fillId="6" borderId="28" xfId="8" applyFont="1" applyFill="1" applyBorder="1" applyAlignment="1">
      <alignment horizontal="center" vertical="center"/>
    </xf>
    <xf numFmtId="0" fontId="57" fillId="6" borderId="1" xfId="8" applyFont="1" applyFill="1" applyBorder="1" applyAlignment="1">
      <alignment horizontal="center" vertical="center"/>
    </xf>
    <xf numFmtId="172" fontId="57" fillId="6" borderId="1" xfId="8" applyNumberFormat="1" applyFont="1" applyFill="1" applyBorder="1" applyAlignment="1">
      <alignment horizontal="center" vertical="center"/>
    </xf>
    <xf numFmtId="0" fontId="57" fillId="5" borderId="43" xfId="8" applyFont="1" applyFill="1" applyBorder="1" applyAlignment="1">
      <alignment horizontal="center" vertical="center"/>
    </xf>
    <xf numFmtId="0" fontId="57" fillId="5" borderId="3" xfId="8" applyFont="1" applyFill="1" applyBorder="1" applyAlignment="1">
      <alignment horizontal="center" vertical="center"/>
    </xf>
    <xf numFmtId="0" fontId="57" fillId="5" borderId="33" xfId="8" applyFont="1" applyFill="1" applyBorder="1" applyAlignment="1">
      <alignment horizontal="center" vertical="center"/>
    </xf>
    <xf numFmtId="0" fontId="57" fillId="5" borderId="35" xfId="8" applyFont="1" applyFill="1" applyBorder="1" applyAlignment="1">
      <alignment horizontal="center" vertical="center"/>
    </xf>
    <xf numFmtId="172" fontId="57" fillId="0" borderId="28" xfId="8" applyNumberFormat="1" applyFont="1" applyBorder="1" applyAlignment="1">
      <alignment horizontal="center" vertical="center"/>
    </xf>
    <xf numFmtId="0" fontId="59" fillId="6" borderId="1" xfId="8" applyFont="1" applyFill="1" applyBorder="1" applyAlignment="1">
      <alignment horizontal="center" vertical="center"/>
    </xf>
    <xf numFmtId="172" fontId="59" fillId="6" borderId="1" xfId="8" applyNumberFormat="1" applyFont="1" applyFill="1" applyBorder="1" applyAlignment="1">
      <alignment horizontal="center" vertical="center"/>
    </xf>
    <xf numFmtId="172" fontId="57" fillId="0" borderId="1" xfId="8" applyNumberFormat="1" applyFont="1" applyBorder="1" applyAlignment="1">
      <alignment horizontal="center" vertical="center"/>
    </xf>
    <xf numFmtId="0" fontId="57" fillId="0" borderId="33" xfId="8" applyFont="1" applyBorder="1" applyAlignment="1">
      <alignment horizontal="center" vertical="center"/>
    </xf>
    <xf numFmtId="0" fontId="57" fillId="0" borderId="35" xfId="8" applyFont="1" applyBorder="1" applyAlignment="1">
      <alignment horizontal="center" vertical="center"/>
    </xf>
    <xf numFmtId="0" fontId="57" fillId="0" borderId="26" xfId="8" applyFont="1" applyBorder="1" applyAlignment="1">
      <alignment horizontal="center" vertical="center"/>
    </xf>
    <xf numFmtId="0" fontId="57" fillId="0" borderId="13" xfId="8" applyFont="1" applyBorder="1" applyAlignment="1">
      <alignment horizontal="center" vertical="center"/>
    </xf>
    <xf numFmtId="0" fontId="57" fillId="0" borderId="0" xfId="8" applyFont="1" applyAlignment="1">
      <alignment vertical="top"/>
    </xf>
    <xf numFmtId="172" fontId="57" fillId="5" borderId="28" xfId="8" applyNumberFormat="1" applyFont="1" applyFill="1" applyBorder="1" applyAlignment="1">
      <alignment horizontal="center" vertical="center"/>
    </xf>
    <xf numFmtId="172" fontId="57" fillId="0" borderId="35" xfId="8" applyNumberFormat="1" applyFont="1" applyBorder="1" applyAlignment="1">
      <alignment horizontal="center" vertical="center"/>
    </xf>
    <xf numFmtId="174" fontId="57" fillId="6" borderId="1" xfId="8" applyNumberFormat="1" applyFont="1" applyFill="1" applyBorder="1" applyAlignment="1">
      <alignment horizontal="center" vertical="center"/>
    </xf>
    <xf numFmtId="174" fontId="57" fillId="0" borderId="1" xfId="8" applyNumberFormat="1" applyFont="1" applyBorder="1" applyAlignment="1">
      <alignment horizontal="center" vertical="center"/>
    </xf>
    <xf numFmtId="174" fontId="57" fillId="0" borderId="28" xfId="8" applyNumberFormat="1" applyFont="1" applyBorder="1" applyAlignment="1">
      <alignment horizontal="center" vertical="center"/>
    </xf>
    <xf numFmtId="174" fontId="57" fillId="5" borderId="1" xfId="8" applyNumberFormat="1" applyFont="1" applyFill="1" applyBorder="1" applyAlignment="1">
      <alignment horizontal="center" vertical="center"/>
    </xf>
    <xf numFmtId="0" fontId="57" fillId="6" borderId="43" xfId="8" applyFont="1" applyFill="1" applyBorder="1" applyAlignment="1">
      <alignment horizontal="center" vertical="center"/>
    </xf>
    <xf numFmtId="0" fontId="57" fillId="6" borderId="3" xfId="8" applyFont="1" applyFill="1" applyBorder="1" applyAlignment="1">
      <alignment horizontal="center" vertical="center"/>
    </xf>
    <xf numFmtId="0" fontId="60" fillId="0" borderId="0" xfId="8" applyFont="1" applyAlignment="1">
      <alignment horizontal="left"/>
    </xf>
    <xf numFmtId="0" fontId="57" fillId="0" borderId="0" xfId="8" applyFont="1" applyAlignment="1">
      <alignment horizontal="left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33" fillId="4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73" fontId="1" fillId="4" borderId="1" xfId="0" applyNumberFormat="1" applyFont="1" applyFill="1" applyBorder="1"/>
    <xf numFmtId="173" fontId="1" fillId="0" borderId="1" xfId="0" applyNumberFormat="1" applyFont="1" applyFill="1" applyBorder="1"/>
    <xf numFmtId="173" fontId="1" fillId="4" borderId="1" xfId="0" applyNumberFormat="1" applyFont="1" applyFill="1" applyBorder="1" applyAlignment="1">
      <alignment horizontal="center"/>
    </xf>
    <xf numFmtId="43" fontId="0" fillId="4" borderId="1" xfId="0" applyNumberFormat="1" applyFill="1" applyBorder="1" applyAlignment="1">
      <alignment horizontal="center"/>
    </xf>
    <xf numFmtId="169" fontId="17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73" fontId="0" fillId="4" borderId="1" xfId="0" applyNumberFormat="1" applyFill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68" fontId="3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 vertical="top"/>
    </xf>
    <xf numFmtId="175" fontId="18" fillId="0" borderId="0" xfId="0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top"/>
    </xf>
    <xf numFmtId="175" fontId="35" fillId="0" borderId="0" xfId="1" applyNumberFormat="1" applyFont="1" applyFill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2" fillId="0" borderId="0" xfId="10"/>
    <xf numFmtId="0" fontId="14" fillId="0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6" fillId="0" borderId="0" xfId="1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/>
    </xf>
    <xf numFmtId="49" fontId="14" fillId="0" borderId="1" xfId="1" applyNumberFormat="1" applyFont="1" applyFill="1" applyBorder="1" applyAlignment="1">
      <alignment horizontal="center"/>
    </xf>
    <xf numFmtId="0" fontId="14" fillId="0" borderId="1" xfId="10" applyFont="1" applyFill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49" fontId="23" fillId="4" borderId="1" xfId="1" applyNumberFormat="1" applyFont="1" applyFill="1" applyBorder="1" applyAlignment="1">
      <alignment horizontal="center" vertical="center"/>
    </xf>
    <xf numFmtId="0" fontId="23" fillId="4" borderId="2" xfId="1" applyFont="1" applyFill="1" applyBorder="1" applyAlignment="1">
      <alignment horizontal="left" vertical="center" wrapText="1"/>
    </xf>
    <xf numFmtId="49" fontId="23" fillId="0" borderId="1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left" vertical="center" wrapText="1"/>
    </xf>
    <xf numFmtId="49" fontId="23" fillId="3" borderId="1" xfId="1" applyNumberFormat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 wrapText="1"/>
    </xf>
    <xf numFmtId="49" fontId="14" fillId="6" borderId="1" xfId="1" applyNumberFormat="1" applyFont="1" applyFill="1" applyBorder="1" applyAlignment="1">
      <alignment horizontal="center" vertical="center"/>
    </xf>
    <xf numFmtId="41" fontId="2" fillId="6" borderId="1" xfId="0" applyNumberFormat="1" applyFont="1" applyFill="1" applyBorder="1" applyAlignment="1">
      <alignment horizontal="center" vertical="center"/>
    </xf>
    <xf numFmtId="171" fontId="2" fillId="6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4" fillId="6" borderId="1" xfId="1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1" fillId="0" borderId="0" xfId="0" applyFont="1"/>
    <xf numFmtId="175" fontId="35" fillId="0" borderId="0" xfId="0" applyNumberFormat="1" applyFont="1" applyFill="1" applyAlignment="1">
      <alignment vertical="center"/>
    </xf>
    <xf numFmtId="0" fontId="33" fillId="0" borderId="0" xfId="0" applyFont="1"/>
    <xf numFmtId="0" fontId="33" fillId="3" borderId="0" xfId="0" applyFont="1" applyFill="1"/>
    <xf numFmtId="0" fontId="1" fillId="0" borderId="0" xfId="0" applyFont="1" applyFill="1"/>
    <xf numFmtId="0" fontId="6" fillId="0" borderId="0" xfId="2" applyFont="1" applyAlignment="1">
      <alignment vertical="center"/>
    </xf>
    <xf numFmtId="0" fontId="1" fillId="0" borderId="0" xfId="10" applyFont="1"/>
    <xf numFmtId="169" fontId="3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37" fontId="0" fillId="6" borderId="1" xfId="0" applyNumberForma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37" fontId="0" fillId="0" borderId="1" xfId="0" applyNumberForma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48" fillId="7" borderId="0" xfId="0" applyFont="1" applyFill="1"/>
    <xf numFmtId="0" fontId="38" fillId="6" borderId="1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1" fontId="1" fillId="0" borderId="0" xfId="0" applyNumberFormat="1" applyFont="1"/>
    <xf numFmtId="165" fontId="1" fillId="0" borderId="0" xfId="0" applyNumberFormat="1" applyFont="1"/>
    <xf numFmtId="173" fontId="38" fillId="6" borderId="1" xfId="0" applyNumberFormat="1" applyFont="1" applyFill="1" applyBorder="1" applyAlignment="1">
      <alignment horizontal="center" vertical="center"/>
    </xf>
    <xf numFmtId="49" fontId="38" fillId="6" borderId="1" xfId="0" applyNumberFormat="1" applyFont="1" applyFill="1" applyBorder="1" applyAlignment="1">
      <alignment horizontal="center" vertical="center"/>
    </xf>
    <xf numFmtId="173" fontId="6" fillId="6" borderId="1" xfId="0" applyNumberFormat="1" applyFont="1" applyFill="1" applyBorder="1" applyAlignment="1">
      <alignment horizontal="center" vertical="center"/>
    </xf>
    <xf numFmtId="1" fontId="38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38" fillId="6" borderId="1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center" vertical="center"/>
    </xf>
    <xf numFmtId="0" fontId="35" fillId="0" borderId="0" xfId="5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2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wrapText="1"/>
    </xf>
    <xf numFmtId="164" fontId="35" fillId="0" borderId="0" xfId="0" applyNumberFormat="1" applyFont="1" applyFill="1" applyAlignment="1">
      <alignment horizontal="center"/>
    </xf>
    <xf numFmtId="0" fontId="11" fillId="0" borderId="0" xfId="2" applyFont="1" applyFill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6" fillId="6" borderId="0" xfId="0" applyFont="1" applyFill="1"/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43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43" fontId="7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41" fontId="6" fillId="6" borderId="1" xfId="0" applyNumberFormat="1" applyFont="1" applyFill="1" applyBorder="1" applyAlignment="1">
      <alignment horizontal="center" vertical="center" wrapText="1"/>
    </xf>
    <xf numFmtId="167" fontId="6" fillId="6" borderId="1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43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43" fontId="6" fillId="6" borderId="1" xfId="0" applyNumberFormat="1" applyFont="1" applyFill="1" applyBorder="1"/>
    <xf numFmtId="167" fontId="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73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7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173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7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" fontId="6" fillId="0" borderId="0" xfId="0" applyNumberFormat="1" applyFont="1"/>
    <xf numFmtId="165" fontId="6" fillId="0" borderId="0" xfId="0" applyNumberFormat="1" applyFont="1"/>
    <xf numFmtId="167" fontId="7" fillId="0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6" borderId="1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/>
    <xf numFmtId="167" fontId="7" fillId="4" borderId="1" xfId="0" applyNumberFormat="1" applyFont="1" applyFill="1" applyBorder="1" applyAlignment="1">
      <alignment horizontal="center"/>
    </xf>
    <xf numFmtId="167" fontId="7" fillId="4" borderId="1" xfId="0" applyNumberFormat="1" applyFont="1" applyFill="1" applyBorder="1" applyAlignment="1"/>
    <xf numFmtId="167" fontId="6" fillId="6" borderId="1" xfId="0" applyNumberFormat="1" applyFont="1" applyFill="1" applyBorder="1" applyAlignment="1">
      <alignment vertical="center" wrapText="1"/>
    </xf>
    <xf numFmtId="169" fontId="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9" fontId="7" fillId="3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4" fontId="14" fillId="4" borderId="1" xfId="0" applyNumberFormat="1" applyFont="1" applyFill="1" applyBorder="1"/>
    <xf numFmtId="0" fontId="14" fillId="4" borderId="0" xfId="0" applyFont="1" applyFill="1"/>
    <xf numFmtId="0" fontId="14" fillId="0" borderId="0" xfId="0" applyFont="1" applyFill="1"/>
    <xf numFmtId="1" fontId="14" fillId="0" borderId="0" xfId="0" applyNumberFormat="1" applyFont="1"/>
    <xf numFmtId="0" fontId="14" fillId="0" borderId="0" xfId="0" applyFont="1"/>
    <xf numFmtId="165" fontId="14" fillId="0" borderId="0" xfId="0" applyNumberFormat="1" applyFont="1"/>
    <xf numFmtId="0" fontId="48" fillId="6" borderId="0" xfId="0" applyFont="1" applyFill="1"/>
    <xf numFmtId="173" fontId="6" fillId="6" borderId="1" xfId="1" applyNumberFormat="1" applyFont="1" applyFill="1" applyBorder="1" applyAlignment="1">
      <alignment horizontal="left" vertical="center" wrapText="1"/>
    </xf>
    <xf numFmtId="164" fontId="6" fillId="6" borderId="1" xfId="1" applyNumberFormat="1" applyFont="1" applyFill="1" applyBorder="1" applyAlignment="1">
      <alignment horizontal="left" vertical="center" wrapText="1"/>
    </xf>
    <xf numFmtId="169" fontId="6" fillId="6" borderId="1" xfId="1" applyNumberFormat="1" applyFont="1" applyFill="1" applyBorder="1" applyAlignment="1">
      <alignment horizontal="left" vertical="center" wrapText="1"/>
    </xf>
    <xf numFmtId="164" fontId="38" fillId="6" borderId="1" xfId="0" applyNumberFormat="1" applyFont="1" applyFill="1" applyBorder="1" applyAlignment="1">
      <alignment horizontal="left" vertical="center" wrapText="1"/>
    </xf>
    <xf numFmtId="169" fontId="38" fillId="6" borderId="1" xfId="0" applyNumberFormat="1" applyFont="1" applyFill="1" applyBorder="1" applyAlignment="1">
      <alignment horizontal="left" vertical="center" wrapText="1"/>
    </xf>
    <xf numFmtId="177" fontId="6" fillId="6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164" fontId="17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 wrapText="1"/>
    </xf>
    <xf numFmtId="169" fontId="17" fillId="8" borderId="1" xfId="0" applyNumberFormat="1" applyFont="1" applyFill="1" applyBorder="1" applyAlignment="1">
      <alignment horizontal="center" vertical="center" wrapText="1"/>
    </xf>
    <xf numFmtId="169" fontId="1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/>
    <xf numFmtId="173" fontId="1" fillId="8" borderId="1" xfId="0" applyNumberFormat="1" applyFont="1" applyFill="1" applyBorder="1"/>
    <xf numFmtId="169" fontId="17" fillId="8" borderId="1" xfId="0" applyNumberFormat="1" applyFont="1" applyFill="1" applyBorder="1" applyAlignment="1">
      <alignment vertical="center" wrapText="1"/>
    </xf>
    <xf numFmtId="173" fontId="0" fillId="8" borderId="1" xfId="0" applyNumberFormat="1" applyFill="1" applyBorder="1" applyAlignment="1">
      <alignment horizontal="center"/>
    </xf>
    <xf numFmtId="41" fontId="17" fillId="8" borderId="1" xfId="0" applyNumberFormat="1" applyFont="1" applyFill="1" applyBorder="1" applyAlignment="1">
      <alignment horizontal="center" vertical="center" wrapText="1"/>
    </xf>
    <xf numFmtId="173" fontId="17" fillId="8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9" fontId="1" fillId="9" borderId="1" xfId="0" applyNumberFormat="1" applyFont="1" applyFill="1" applyBorder="1" applyAlignment="1">
      <alignment horizontal="center" vertical="center" wrapText="1"/>
    </xf>
    <xf numFmtId="164" fontId="17" fillId="9" borderId="1" xfId="0" applyNumberFormat="1" applyFont="1" applyFill="1" applyBorder="1" applyAlignment="1">
      <alignment horizontal="center" vertical="center" wrapText="1"/>
    </xf>
    <xf numFmtId="169" fontId="17" fillId="9" borderId="1" xfId="0" applyNumberFormat="1" applyFont="1" applyFill="1" applyBorder="1" applyAlignment="1">
      <alignment horizontal="center" vertical="center" wrapText="1"/>
    </xf>
    <xf numFmtId="41" fontId="17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41" fontId="0" fillId="9" borderId="1" xfId="0" applyNumberFormat="1" applyFill="1" applyBorder="1"/>
    <xf numFmtId="164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1" fontId="0" fillId="9" borderId="1" xfId="0" applyNumberFormat="1" applyFill="1" applyBorder="1" applyAlignment="1">
      <alignment horizontal="center"/>
    </xf>
    <xf numFmtId="41" fontId="3" fillId="4" borderId="1" xfId="0" applyNumberFormat="1" applyFont="1" applyFill="1" applyBorder="1"/>
    <xf numFmtId="41" fontId="1" fillId="9" borderId="1" xfId="0" applyNumberFormat="1" applyFont="1" applyFill="1" applyBorder="1" applyAlignment="1">
      <alignment horizontal="center" vertical="center" wrapText="1"/>
    </xf>
    <xf numFmtId="171" fontId="1" fillId="9" borderId="1" xfId="0" applyNumberFormat="1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/>
    </xf>
    <xf numFmtId="0" fontId="35" fillId="0" borderId="0" xfId="0" applyFont="1" applyFill="1" applyAlignment="1"/>
    <xf numFmtId="49" fontId="50" fillId="0" borderId="10" xfId="8" applyNumberFormat="1" applyFont="1" applyBorder="1" applyAlignment="1"/>
    <xf numFmtId="0" fontId="53" fillId="0" borderId="5" xfId="8" applyFont="1" applyBorder="1" applyAlignment="1">
      <alignment vertical="top"/>
    </xf>
    <xf numFmtId="0" fontId="67" fillId="0" borderId="0" xfId="1" applyFont="1" applyFill="1" applyAlignment="1">
      <alignment horizontal="left" vertical="center"/>
    </xf>
    <xf numFmtId="0" fontId="68" fillId="0" borderId="0" xfId="0" applyFont="1"/>
    <xf numFmtId="0" fontId="54" fillId="0" borderId="1" xfId="8" applyFont="1" applyBorder="1" applyAlignment="1">
      <alignment horizontal="center" vertical="center" wrapText="1"/>
    </xf>
    <xf numFmtId="0" fontId="69" fillId="0" borderId="33" xfId="8" applyFont="1" applyBorder="1" applyAlignment="1">
      <alignment horizontal="center" vertical="top"/>
    </xf>
    <xf numFmtId="0" fontId="69" fillId="0" borderId="35" xfId="8" applyFont="1" applyBorder="1" applyAlignment="1">
      <alignment horizontal="center" vertical="top"/>
    </xf>
    <xf numFmtId="0" fontId="54" fillId="6" borderId="28" xfId="8" applyFont="1" applyFill="1" applyBorder="1" applyAlignment="1">
      <alignment horizontal="center" vertical="center"/>
    </xf>
    <xf numFmtId="0" fontId="54" fillId="6" borderId="1" xfId="8" applyFont="1" applyFill="1" applyBorder="1" applyAlignment="1">
      <alignment horizontal="center" vertical="center"/>
    </xf>
    <xf numFmtId="0" fontId="54" fillId="5" borderId="28" xfId="8" applyFont="1" applyFill="1" applyBorder="1" applyAlignment="1">
      <alignment horizontal="center" vertical="center"/>
    </xf>
    <xf numFmtId="0" fontId="54" fillId="5" borderId="1" xfId="8" applyFont="1" applyFill="1" applyBorder="1" applyAlignment="1">
      <alignment horizontal="center" vertical="center"/>
    </xf>
    <xf numFmtId="0" fontId="54" fillId="0" borderId="28" xfId="8" applyFont="1" applyBorder="1" applyAlignment="1">
      <alignment horizontal="center" vertical="center"/>
    </xf>
    <xf numFmtId="0" fontId="54" fillId="0" borderId="1" xfId="8" applyFont="1" applyBorder="1" applyAlignment="1">
      <alignment horizontal="center" vertical="center"/>
    </xf>
    <xf numFmtId="0" fontId="54" fillId="0" borderId="33" xfId="8" applyFont="1" applyBorder="1" applyAlignment="1">
      <alignment horizontal="center" vertical="center"/>
    </xf>
    <xf numFmtId="0" fontId="54" fillId="0" borderId="35" xfId="8" applyFont="1" applyBorder="1" applyAlignment="1">
      <alignment horizontal="center" vertical="center"/>
    </xf>
    <xf numFmtId="0" fontId="54" fillId="0" borderId="26" xfId="8" applyFont="1" applyBorder="1" applyAlignment="1">
      <alignment horizontal="center" vertical="center"/>
    </xf>
    <xf numFmtId="0" fontId="54" fillId="0" borderId="13" xfId="8" applyFont="1" applyBorder="1" applyAlignment="1">
      <alignment horizontal="center" vertical="center"/>
    </xf>
    <xf numFmtId="0" fontId="54" fillId="0" borderId="33" xfId="8" applyFont="1" applyBorder="1" applyAlignment="1">
      <alignment horizontal="center" vertical="center" wrapText="1"/>
    </xf>
    <xf numFmtId="49" fontId="31" fillId="0" borderId="36" xfId="8" applyNumberFormat="1" applyFont="1" applyBorder="1" applyAlignment="1">
      <alignment vertical="center"/>
    </xf>
    <xf numFmtId="164" fontId="63" fillId="0" borderId="1" xfId="0" applyNumberFormat="1" applyFont="1" applyFill="1" applyBorder="1" applyAlignment="1">
      <alignment horizontal="center" vertical="center" wrapText="1"/>
    </xf>
    <xf numFmtId="164" fontId="63" fillId="0" borderId="1" xfId="0" applyNumberFormat="1" applyFont="1" applyBorder="1" applyAlignment="1">
      <alignment horizontal="center" vertical="center" wrapText="1"/>
    </xf>
    <xf numFmtId="171" fontId="0" fillId="6" borderId="1" xfId="0" applyNumberFormat="1" applyFill="1" applyBorder="1" applyAlignment="1">
      <alignment horizontal="center" vertical="center"/>
    </xf>
    <xf numFmtId="164" fontId="33" fillId="9" borderId="1" xfId="0" applyNumberFormat="1" applyFont="1" applyFill="1" applyBorder="1" applyAlignment="1">
      <alignment horizontal="center" vertical="center" wrapText="1"/>
    </xf>
    <xf numFmtId="169" fontId="33" fillId="9" borderId="1" xfId="0" applyNumberFormat="1" applyFont="1" applyFill="1" applyBorder="1" applyAlignment="1">
      <alignment horizontal="center" vertical="center" wrapText="1"/>
    </xf>
    <xf numFmtId="41" fontId="3" fillId="4" borderId="1" xfId="0" applyNumberFormat="1" applyFont="1" applyFill="1" applyBorder="1" applyAlignment="1">
      <alignment horizontal="center"/>
    </xf>
    <xf numFmtId="41" fontId="33" fillId="4" borderId="1" xfId="0" applyNumberFormat="1" applyFont="1" applyFill="1" applyBorder="1"/>
    <xf numFmtId="169" fontId="17" fillId="9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/>
    <xf numFmtId="49" fontId="31" fillId="0" borderId="37" xfId="8" applyNumberFormat="1" applyFont="1" applyBorder="1" applyAlignment="1">
      <alignment vertical="center"/>
    </xf>
    <xf numFmtId="49" fontId="31" fillId="0" borderId="38" xfId="8" applyNumberFormat="1" applyFont="1" applyBorder="1" applyAlignment="1">
      <alignment vertical="center"/>
    </xf>
    <xf numFmtId="0" fontId="70" fillId="0" borderId="0" xfId="8" applyFont="1"/>
    <xf numFmtId="0" fontId="70" fillId="0" borderId="0" xfId="8" applyFont="1" applyAlignment="1">
      <alignment horizontal="right"/>
    </xf>
    <xf numFmtId="49" fontId="70" fillId="0" borderId="10" xfId="8" applyNumberFormat="1" applyFont="1" applyBorder="1" applyAlignment="1">
      <alignment horizontal="center"/>
    </xf>
    <xf numFmtId="0" fontId="70" fillId="0" borderId="0" xfId="8" applyFont="1" applyAlignment="1">
      <alignment horizontal="left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49" fontId="13" fillId="0" borderId="10" xfId="8" applyNumberFormat="1" applyFont="1" applyBorder="1" applyAlignment="1"/>
    <xf numFmtId="0" fontId="13" fillId="0" borderId="5" xfId="8" applyFont="1" applyBorder="1" applyAlignment="1">
      <alignment vertical="top"/>
    </xf>
    <xf numFmtId="0" fontId="13" fillId="0" borderId="0" xfId="8" applyFont="1" applyAlignment="1">
      <alignment horizontal="right"/>
    </xf>
    <xf numFmtId="49" fontId="13" fillId="0" borderId="10" xfId="8" applyNumberFormat="1" applyFont="1" applyBorder="1" applyAlignment="1">
      <alignment horizontal="center"/>
    </xf>
    <xf numFmtId="0" fontId="71" fillId="0" borderId="0" xfId="1" applyFont="1" applyFill="1" applyAlignment="1">
      <alignment horizontal="left" vertical="center"/>
    </xf>
    <xf numFmtId="0" fontId="72" fillId="6" borderId="1" xfId="8" applyFont="1" applyFill="1" applyBorder="1" applyAlignment="1">
      <alignment horizontal="center" vertical="center"/>
    </xf>
    <xf numFmtId="173" fontId="72" fillId="6" borderId="1" xfId="8" applyNumberFormat="1" applyFont="1" applyFill="1" applyBorder="1" applyAlignment="1">
      <alignment horizontal="center" vertical="center"/>
    </xf>
    <xf numFmtId="0" fontId="72" fillId="5" borderId="1" xfId="8" applyFont="1" applyFill="1" applyBorder="1" applyAlignment="1">
      <alignment horizontal="center" vertical="center"/>
    </xf>
    <xf numFmtId="173" fontId="72" fillId="5" borderId="1" xfId="8" applyNumberFormat="1" applyFont="1" applyFill="1" applyBorder="1" applyAlignment="1">
      <alignment horizontal="center" vertical="center"/>
    </xf>
    <xf numFmtId="0" fontId="72" fillId="0" borderId="1" xfId="8" applyFont="1" applyBorder="1" applyAlignment="1">
      <alignment horizontal="center" vertical="center"/>
    </xf>
    <xf numFmtId="173" fontId="72" fillId="0" borderId="1" xfId="8" applyNumberFormat="1" applyFont="1" applyBorder="1" applyAlignment="1">
      <alignment horizontal="center" vertical="center"/>
    </xf>
    <xf numFmtId="0" fontId="72" fillId="0" borderId="28" xfId="8" applyFont="1" applyBorder="1" applyAlignment="1">
      <alignment horizontal="center" vertical="center"/>
    </xf>
    <xf numFmtId="0" fontId="72" fillId="5" borderId="28" xfId="8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6" fillId="0" borderId="1" xfId="10" applyFont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6" fillId="6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left" vertical="center" wrapText="1"/>
    </xf>
    <xf numFmtId="164" fontId="6" fillId="6" borderId="13" xfId="0" applyNumberFormat="1" applyFont="1" applyFill="1" applyBorder="1" applyAlignment="1">
      <alignment horizontal="left" vertical="center" wrapText="1"/>
    </xf>
    <xf numFmtId="164" fontId="6" fillId="6" borderId="12" xfId="0" applyNumberFormat="1" applyFont="1" applyFill="1" applyBorder="1" applyAlignment="1">
      <alignment horizontal="left" vertical="center" wrapText="1"/>
    </xf>
    <xf numFmtId="1" fontId="35" fillId="0" borderId="10" xfId="0" applyNumberFormat="1" applyFont="1" applyFill="1" applyBorder="1" applyAlignment="1">
      <alignment horizontal="center" vertical="top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5" fillId="0" borderId="10" xfId="5" applyFont="1" applyFill="1" applyBorder="1" applyAlignment="1">
      <alignment horizontal="center"/>
    </xf>
    <xf numFmtId="0" fontId="39" fillId="0" borderId="0" xfId="4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wrapText="1"/>
    </xf>
    <xf numFmtId="0" fontId="35" fillId="0" borderId="0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center" vertical="top" wrapText="1"/>
    </xf>
    <xf numFmtId="0" fontId="38" fillId="0" borderId="3" xfId="6" applyFont="1" applyFill="1" applyBorder="1" applyAlignment="1">
      <alignment horizontal="center" vertical="center" wrapText="1"/>
    </xf>
    <xf numFmtId="0" fontId="38" fillId="0" borderId="12" xfId="6" applyFont="1" applyFill="1" applyBorder="1" applyAlignment="1">
      <alignment horizontal="center" vertical="center" wrapText="1"/>
    </xf>
    <xf numFmtId="0" fontId="38" fillId="0" borderId="13" xfId="6" applyFont="1" applyFill="1" applyBorder="1" applyAlignment="1">
      <alignment horizontal="center" vertical="center" wrapText="1"/>
    </xf>
    <xf numFmtId="0" fontId="38" fillId="0" borderId="4" xfId="6" applyFont="1" applyFill="1" applyBorder="1" applyAlignment="1">
      <alignment horizontal="center" vertical="center" wrapText="1"/>
    </xf>
    <xf numFmtId="0" fontId="38" fillId="0" borderId="5" xfId="6" applyFont="1" applyFill="1" applyBorder="1" applyAlignment="1">
      <alignment horizontal="center" vertical="center" wrapText="1"/>
    </xf>
    <xf numFmtId="0" fontId="38" fillId="0" borderId="6" xfId="6" applyFont="1" applyFill="1" applyBorder="1" applyAlignment="1">
      <alignment horizontal="center" vertical="center" wrapText="1"/>
    </xf>
    <xf numFmtId="0" fontId="38" fillId="0" borderId="9" xfId="6" applyFont="1" applyFill="1" applyBorder="1" applyAlignment="1">
      <alignment horizontal="center" vertical="center" wrapText="1"/>
    </xf>
    <xf numFmtId="0" fontId="38" fillId="0" borderId="10" xfId="6" applyFont="1" applyFill="1" applyBorder="1" applyAlignment="1">
      <alignment horizontal="center" vertical="center" wrapText="1"/>
    </xf>
    <xf numFmtId="0" fontId="38" fillId="0" borderId="11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35" fillId="0" borderId="10" xfId="5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44" fillId="0" borderId="0" xfId="2" applyFont="1" applyAlignment="1">
      <alignment horizontal="center"/>
    </xf>
    <xf numFmtId="0" fontId="6" fillId="0" borderId="0" xfId="1" applyFont="1" applyAlignment="1">
      <alignment horizontal="center" vertical="top"/>
    </xf>
    <xf numFmtId="0" fontId="11" fillId="0" borderId="0" xfId="2" applyFont="1" applyFill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9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44" fillId="0" borderId="0" xfId="2" applyFont="1" applyFill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164" fontId="1" fillId="6" borderId="12" xfId="0" applyNumberFormat="1" applyFont="1" applyFill="1" applyBorder="1" applyAlignment="1">
      <alignment horizontal="center" vertical="center" wrapText="1"/>
    </xf>
    <xf numFmtId="164" fontId="17" fillId="6" borderId="12" xfId="0" applyNumberFormat="1" applyFont="1" applyFill="1" applyBorder="1" applyAlignment="1">
      <alignment horizontal="center" vertical="center" wrapText="1"/>
    </xf>
    <xf numFmtId="164" fontId="17" fillId="6" borderId="13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17" fillId="6" borderId="12" xfId="0" applyNumberFormat="1" applyFont="1" applyFill="1" applyBorder="1" applyAlignment="1">
      <alignment horizontal="center" vertical="center" wrapText="1"/>
    </xf>
    <xf numFmtId="0" fontId="17" fillId="6" borderId="13" xfId="0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14" fillId="0" borderId="1" xfId="3" applyFont="1" applyFill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4" fillId="0" borderId="19" xfId="8" applyFont="1" applyBorder="1" applyAlignment="1">
      <alignment horizontal="center" vertical="center" wrapText="1"/>
    </xf>
    <xf numFmtId="0" fontId="54" fillId="0" borderId="26" xfId="8" applyFont="1" applyBorder="1" applyAlignment="1">
      <alignment horizontal="center" vertical="center" wrapText="1"/>
    </xf>
    <xf numFmtId="0" fontId="54" fillId="0" borderId="22" xfId="8" applyFont="1" applyBorder="1" applyAlignment="1">
      <alignment horizontal="center" vertical="center" wrapText="1"/>
    </xf>
    <xf numFmtId="0" fontId="54" fillId="0" borderId="23" xfId="8" applyFont="1" applyBorder="1" applyAlignment="1">
      <alignment horizontal="center" vertical="center" wrapText="1"/>
    </xf>
    <xf numFmtId="0" fontId="54" fillId="0" borderId="24" xfId="8" applyFont="1" applyBorder="1" applyAlignment="1">
      <alignment horizontal="center" vertical="center" wrapText="1"/>
    </xf>
    <xf numFmtId="49" fontId="13" fillId="0" borderId="10" xfId="8" applyNumberFormat="1" applyFont="1" applyBorder="1" applyAlignment="1">
      <alignment horizontal="center"/>
    </xf>
    <xf numFmtId="49" fontId="13" fillId="0" borderId="0" xfId="8" applyNumberFormat="1" applyFont="1" applyBorder="1" applyAlignment="1">
      <alignment horizontal="left"/>
    </xf>
    <xf numFmtId="0" fontId="13" fillId="0" borderId="0" xfId="8" applyFont="1" applyBorder="1" applyAlignment="1">
      <alignment horizontal="center" vertical="top"/>
    </xf>
    <xf numFmtId="0" fontId="69" fillId="0" borderId="29" xfId="8" applyFont="1" applyBorder="1" applyAlignment="1">
      <alignment horizontal="center" vertical="top"/>
    </xf>
    <xf numFmtId="0" fontId="69" fillId="0" borderId="30" xfId="8" applyFont="1" applyBorder="1" applyAlignment="1">
      <alignment horizontal="center" vertical="top"/>
    </xf>
    <xf numFmtId="0" fontId="69" fillId="0" borderId="31" xfId="8" applyFont="1" applyBorder="1" applyAlignment="1">
      <alignment horizontal="center" vertical="top"/>
    </xf>
    <xf numFmtId="0" fontId="69" fillId="0" borderId="32" xfId="8" applyFont="1" applyBorder="1" applyAlignment="1">
      <alignment horizontal="center" vertical="top"/>
    </xf>
    <xf numFmtId="49" fontId="54" fillId="6" borderId="39" xfId="8" applyNumberFormat="1" applyFont="1" applyFill="1" applyBorder="1" applyAlignment="1">
      <alignment horizontal="left" vertical="center" wrapText="1"/>
    </xf>
    <xf numFmtId="49" fontId="54" fillId="6" borderId="40" xfId="8" applyNumberFormat="1" applyFont="1" applyFill="1" applyBorder="1" applyAlignment="1">
      <alignment horizontal="left" vertical="center" wrapText="1"/>
    </xf>
    <xf numFmtId="49" fontId="54" fillId="6" borderId="23" xfId="8" applyNumberFormat="1" applyFont="1" applyFill="1" applyBorder="1" applyAlignment="1">
      <alignment horizontal="left" vertical="center" wrapText="1"/>
    </xf>
    <xf numFmtId="49" fontId="54" fillId="6" borderId="42" xfId="8" applyNumberFormat="1" applyFont="1" applyFill="1" applyBorder="1" applyAlignment="1">
      <alignment horizontal="center" vertical="center"/>
    </xf>
    <xf numFmtId="49" fontId="54" fillId="6" borderId="8" xfId="8" applyNumberFormat="1" applyFont="1" applyFill="1" applyBorder="1" applyAlignment="1">
      <alignment horizontal="center" vertical="center"/>
    </xf>
    <xf numFmtId="0" fontId="54" fillId="6" borderId="2" xfId="8" applyFont="1" applyFill="1" applyBorder="1" applyAlignment="1">
      <alignment horizontal="left" vertical="center" wrapText="1"/>
    </xf>
    <xf numFmtId="0" fontId="54" fillId="6" borderId="7" xfId="8" applyFont="1" applyFill="1" applyBorder="1" applyAlignment="1">
      <alignment horizontal="left" vertical="center" wrapText="1"/>
    </xf>
    <xf numFmtId="0" fontId="54" fillId="6" borderId="8" xfId="8" applyFont="1" applyFill="1" applyBorder="1" applyAlignment="1">
      <alignment horizontal="left" vertical="center" wrapText="1"/>
    </xf>
    <xf numFmtId="49" fontId="54" fillId="5" borderId="42" xfId="8" applyNumberFormat="1" applyFont="1" applyFill="1" applyBorder="1" applyAlignment="1">
      <alignment horizontal="center" vertical="center"/>
    </xf>
    <xf numFmtId="49" fontId="54" fillId="5" borderId="8" xfId="8" applyNumberFormat="1" applyFont="1" applyFill="1" applyBorder="1" applyAlignment="1">
      <alignment horizontal="center" vertical="center"/>
    </xf>
    <xf numFmtId="0" fontId="54" fillId="5" borderId="2" xfId="8" applyFont="1" applyFill="1" applyBorder="1" applyAlignment="1">
      <alignment horizontal="left" vertical="center" wrapText="1" indent="1"/>
    </xf>
    <xf numFmtId="0" fontId="54" fillId="5" borderId="7" xfId="8" applyFont="1" applyFill="1" applyBorder="1" applyAlignment="1">
      <alignment horizontal="left" vertical="center" wrapText="1" indent="1"/>
    </xf>
    <xf numFmtId="0" fontId="54" fillId="5" borderId="8" xfId="8" applyFont="1" applyFill="1" applyBorder="1" applyAlignment="1">
      <alignment horizontal="left" vertical="center" wrapText="1" indent="1"/>
    </xf>
    <xf numFmtId="0" fontId="54" fillId="0" borderId="15" xfId="8" applyFont="1" applyBorder="1" applyAlignment="1">
      <alignment horizontal="center" vertical="center" wrapText="1"/>
    </xf>
    <xf numFmtId="0" fontId="54" fillId="0" borderId="16" xfId="8" applyFont="1" applyBorder="1" applyAlignment="1">
      <alignment horizontal="center" vertical="center" wrapText="1"/>
    </xf>
    <xf numFmtId="0" fontId="54" fillId="0" borderId="25" xfId="8" applyFont="1" applyBorder="1" applyAlignment="1">
      <alignment horizontal="center" vertical="center" wrapText="1"/>
    </xf>
    <xf numFmtId="0" fontId="54" fillId="0" borderId="11" xfId="8" applyFont="1" applyBorder="1" applyAlignment="1">
      <alignment horizontal="center" vertical="center" wrapText="1"/>
    </xf>
    <xf numFmtId="0" fontId="54" fillId="0" borderId="17" xfId="8" applyFont="1" applyBorder="1" applyAlignment="1">
      <alignment horizontal="center" vertical="center" wrapText="1"/>
    </xf>
    <xf numFmtId="0" fontId="54" fillId="0" borderId="18" xfId="8" applyFont="1" applyBorder="1" applyAlignment="1">
      <alignment horizontal="center" vertical="center" wrapText="1"/>
    </xf>
    <xf numFmtId="0" fontId="54" fillId="0" borderId="9" xfId="8" applyFont="1" applyBorder="1" applyAlignment="1">
      <alignment horizontal="center" vertical="center" wrapText="1"/>
    </xf>
    <xf numFmtId="0" fontId="54" fillId="0" borderId="10" xfId="8" applyFont="1" applyBorder="1" applyAlignment="1">
      <alignment horizontal="center" vertical="center" wrapText="1"/>
    </xf>
    <xf numFmtId="49" fontId="54" fillId="0" borderId="42" xfId="8" applyNumberFormat="1" applyFont="1" applyBorder="1" applyAlignment="1">
      <alignment horizontal="center" vertical="center"/>
    </xf>
    <xf numFmtId="49" fontId="54" fillId="0" borderId="8" xfId="8" applyNumberFormat="1" applyFont="1" applyBorder="1" applyAlignment="1">
      <alignment horizontal="center" vertical="center"/>
    </xf>
    <xf numFmtId="0" fontId="54" fillId="0" borderId="2" xfId="8" applyFont="1" applyBorder="1" applyAlignment="1">
      <alignment horizontal="left" vertical="center" wrapText="1" indent="4"/>
    </xf>
    <xf numFmtId="0" fontId="54" fillId="0" borderId="7" xfId="8" applyFont="1" applyBorder="1" applyAlignment="1">
      <alignment horizontal="left" vertical="center" wrapText="1" indent="4"/>
    </xf>
    <xf numFmtId="0" fontId="54" fillId="0" borderId="8" xfId="8" applyFont="1" applyBorder="1" applyAlignment="1">
      <alignment horizontal="left" vertical="center" wrapText="1" indent="4"/>
    </xf>
    <xf numFmtId="0" fontId="54" fillId="0" borderId="2" xfId="8" applyFont="1" applyBorder="1" applyAlignment="1">
      <alignment horizontal="left" vertical="center" wrapText="1" indent="3"/>
    </xf>
    <xf numFmtId="0" fontId="54" fillId="0" borderId="7" xfId="8" applyFont="1" applyBorder="1" applyAlignment="1">
      <alignment horizontal="left" vertical="center" wrapText="1" indent="3"/>
    </xf>
    <xf numFmtId="0" fontId="54" fillId="0" borderId="8" xfId="8" applyFont="1" applyBorder="1" applyAlignment="1">
      <alignment horizontal="left" vertical="center" wrapText="1" indent="3"/>
    </xf>
    <xf numFmtId="0" fontId="54" fillId="0" borderId="2" xfId="8" applyFont="1" applyBorder="1" applyAlignment="1">
      <alignment horizontal="left" vertical="center" wrapText="1" indent="2"/>
    </xf>
    <xf numFmtId="0" fontId="54" fillId="0" borderId="7" xfId="8" applyFont="1" applyBorder="1" applyAlignment="1">
      <alignment horizontal="left" vertical="center" wrapText="1" indent="2"/>
    </xf>
    <xf numFmtId="0" fontId="54" fillId="0" borderId="8" xfId="8" applyFont="1" applyBorder="1" applyAlignment="1">
      <alignment horizontal="left" vertical="center" wrapText="1" indent="2"/>
    </xf>
    <xf numFmtId="0" fontId="54" fillId="0" borderId="2" xfId="8" applyFont="1" applyBorder="1" applyAlignment="1">
      <alignment horizontal="left" vertical="center" wrapText="1" indent="5"/>
    </xf>
    <xf numFmtId="0" fontId="54" fillId="0" borderId="7" xfId="8" applyFont="1" applyBorder="1" applyAlignment="1">
      <alignment horizontal="left" vertical="center" wrapText="1" indent="5"/>
    </xf>
    <xf numFmtId="0" fontId="54" fillId="0" borderId="8" xfId="8" applyFont="1" applyBorder="1" applyAlignment="1">
      <alignment horizontal="left" vertical="center" wrapText="1" indent="5"/>
    </xf>
    <xf numFmtId="0" fontId="54" fillId="5" borderId="2" xfId="8" applyFont="1" applyFill="1" applyBorder="1" applyAlignment="1">
      <alignment horizontal="left" vertical="center" wrapText="1" indent="3"/>
    </xf>
    <xf numFmtId="0" fontId="54" fillId="5" borderId="7" xfId="8" applyFont="1" applyFill="1" applyBorder="1" applyAlignment="1">
      <alignment horizontal="left" vertical="center" wrapText="1" indent="3"/>
    </xf>
    <xf numFmtId="0" fontId="54" fillId="5" borderId="8" xfId="8" applyFont="1" applyFill="1" applyBorder="1" applyAlignment="1">
      <alignment horizontal="left" vertical="center" wrapText="1" indent="3"/>
    </xf>
    <xf numFmtId="0" fontId="54" fillId="5" borderId="2" xfId="8" applyFont="1" applyFill="1" applyBorder="1" applyAlignment="1">
      <alignment horizontal="left" vertical="center" wrapText="1" indent="2"/>
    </xf>
    <xf numFmtId="0" fontId="54" fillId="5" borderId="7" xfId="8" applyFont="1" applyFill="1" applyBorder="1" applyAlignment="1">
      <alignment horizontal="left" vertical="center" wrapText="1" indent="2"/>
    </xf>
    <xf numFmtId="0" fontId="54" fillId="5" borderId="8" xfId="8" applyFont="1" applyFill="1" applyBorder="1" applyAlignment="1">
      <alignment horizontal="left" vertical="center" wrapText="1" indent="2"/>
    </xf>
    <xf numFmtId="0" fontId="54" fillId="0" borderId="2" xfId="8" applyFont="1" applyBorder="1" applyAlignment="1">
      <alignment horizontal="left" vertical="center" wrapText="1" indent="1"/>
    </xf>
    <xf numFmtId="0" fontId="54" fillId="0" borderId="7" xfId="8" applyFont="1" applyBorder="1" applyAlignment="1">
      <alignment horizontal="left" vertical="center" wrapText="1" indent="1"/>
    </xf>
    <xf numFmtId="0" fontId="54" fillId="0" borderId="8" xfId="8" applyFont="1" applyBorder="1" applyAlignment="1">
      <alignment horizontal="left" vertical="center" wrapText="1" indent="1"/>
    </xf>
    <xf numFmtId="49" fontId="54" fillId="0" borderId="29" xfId="8" applyNumberFormat="1" applyFont="1" applyBorder="1" applyAlignment="1">
      <alignment horizontal="center" vertical="center"/>
    </xf>
    <xf numFmtId="49" fontId="54" fillId="0" borderId="30" xfId="8" applyNumberFormat="1" applyFont="1" applyBorder="1" applyAlignment="1">
      <alignment horizontal="center" vertical="center"/>
    </xf>
    <xf numFmtId="0" fontId="54" fillId="0" borderId="31" xfId="8" applyFont="1" applyBorder="1" applyAlignment="1">
      <alignment horizontal="left" vertical="center" wrapText="1" indent="2"/>
    </xf>
    <xf numFmtId="0" fontId="54" fillId="0" borderId="32" xfId="8" applyFont="1" applyBorder="1" applyAlignment="1">
      <alignment horizontal="left" vertical="center" wrapText="1" indent="2"/>
    </xf>
    <xf numFmtId="0" fontId="54" fillId="0" borderId="30" xfId="8" applyFont="1" applyBorder="1" applyAlignment="1">
      <alignment horizontal="left" vertical="center" wrapText="1" indent="2"/>
    </xf>
    <xf numFmtId="0" fontId="54" fillId="0" borderId="31" xfId="8" applyFont="1" applyBorder="1" applyAlignment="1">
      <alignment horizontal="left" vertical="center" wrapText="1" indent="1"/>
    </xf>
    <xf numFmtId="0" fontId="54" fillId="0" borderId="32" xfId="8" applyFont="1" applyBorder="1" applyAlignment="1">
      <alignment horizontal="left" vertical="center" wrapText="1" indent="1"/>
    </xf>
    <xf numFmtId="0" fontId="54" fillId="0" borderId="30" xfId="8" applyFont="1" applyBorder="1" applyAlignment="1">
      <alignment horizontal="left" vertical="center" wrapText="1" indent="1"/>
    </xf>
    <xf numFmtId="49" fontId="54" fillId="0" borderId="25" xfId="8" applyNumberFormat="1" applyFont="1" applyBorder="1" applyAlignment="1">
      <alignment horizontal="center" vertical="center"/>
    </xf>
    <xf numFmtId="49" fontId="54" fillId="0" borderId="11" xfId="8" applyNumberFormat="1" applyFont="1" applyBorder="1" applyAlignment="1">
      <alignment horizontal="center" vertical="center"/>
    </xf>
    <xf numFmtId="0" fontId="54" fillId="0" borderId="9" xfId="8" applyFont="1" applyBorder="1" applyAlignment="1">
      <alignment horizontal="left" vertical="center" wrapText="1"/>
    </xf>
    <xf numFmtId="0" fontId="54" fillId="0" borderId="10" xfId="8" applyFont="1" applyBorder="1" applyAlignment="1">
      <alignment horizontal="left" vertical="center" wrapText="1"/>
    </xf>
    <xf numFmtId="0" fontId="54" fillId="0" borderId="11" xfId="8" applyFont="1" applyBorder="1" applyAlignment="1">
      <alignment horizontal="left" vertical="center" wrapText="1"/>
    </xf>
    <xf numFmtId="49" fontId="50" fillId="0" borderId="10" xfId="8" applyNumberFormat="1" applyFont="1" applyBorder="1" applyAlignment="1">
      <alignment horizontal="center"/>
    </xf>
    <xf numFmtId="49" fontId="50" fillId="0" borderId="0" xfId="8" applyNumberFormat="1" applyFont="1" applyBorder="1" applyAlignment="1">
      <alignment horizontal="left"/>
    </xf>
    <xf numFmtId="0" fontId="53" fillId="0" borderId="0" xfId="8" applyFont="1" applyBorder="1" applyAlignment="1">
      <alignment horizontal="center" vertical="top"/>
    </xf>
    <xf numFmtId="0" fontId="54" fillId="0" borderId="14" xfId="8" applyFont="1" applyBorder="1" applyAlignment="1">
      <alignment horizontal="center" vertical="center"/>
    </xf>
    <xf numFmtId="49" fontId="57" fillId="0" borderId="42" xfId="8" applyNumberFormat="1" applyFont="1" applyBorder="1" applyAlignment="1">
      <alignment horizontal="center" vertical="center"/>
    </xf>
    <xf numFmtId="49" fontId="57" fillId="0" borderId="8" xfId="8" applyNumberFormat="1" applyFont="1" applyBorder="1" applyAlignment="1">
      <alignment horizontal="center" vertical="center"/>
    </xf>
    <xf numFmtId="0" fontId="57" fillId="0" borderId="2" xfId="8" applyFont="1" applyBorder="1" applyAlignment="1">
      <alignment horizontal="left" vertical="center" wrapText="1" indent="1"/>
    </xf>
    <xf numFmtId="0" fontId="57" fillId="0" borderId="7" xfId="8" applyFont="1" applyBorder="1" applyAlignment="1">
      <alignment horizontal="left" vertical="center" wrapText="1" indent="1"/>
    </xf>
    <xf numFmtId="0" fontId="57" fillId="0" borderId="8" xfId="8" applyFont="1" applyBorder="1" applyAlignment="1">
      <alignment horizontal="left" vertical="center" wrapText="1" indent="1"/>
    </xf>
    <xf numFmtId="49" fontId="57" fillId="5" borderId="42" xfId="8" applyNumberFormat="1" applyFont="1" applyFill="1" applyBorder="1" applyAlignment="1">
      <alignment horizontal="center" vertical="center"/>
    </xf>
    <xf numFmtId="49" fontId="57" fillId="5" borderId="8" xfId="8" applyNumberFormat="1" applyFont="1" applyFill="1" applyBorder="1" applyAlignment="1">
      <alignment horizontal="center" vertical="center"/>
    </xf>
    <xf numFmtId="0" fontId="57" fillId="5" borderId="2" xfId="8" applyFont="1" applyFill="1" applyBorder="1" applyAlignment="1">
      <alignment horizontal="left" vertical="center" wrapText="1" indent="1"/>
    </xf>
    <xf numFmtId="0" fontId="57" fillId="5" borderId="7" xfId="8" applyFont="1" applyFill="1" applyBorder="1" applyAlignment="1">
      <alignment horizontal="left" vertical="center" wrapText="1" indent="1"/>
    </xf>
    <xf numFmtId="0" fontId="57" fillId="5" borderId="8" xfId="8" applyFont="1" applyFill="1" applyBorder="1" applyAlignment="1">
      <alignment horizontal="left" vertical="center" wrapText="1" indent="1"/>
    </xf>
    <xf numFmtId="0" fontId="55" fillId="0" borderId="22" xfId="8" applyFont="1" applyBorder="1" applyAlignment="1">
      <alignment horizontal="center" vertical="center" wrapText="1"/>
    </xf>
    <xf numFmtId="0" fontId="55" fillId="0" borderId="24" xfId="8" applyFont="1" applyBorder="1" applyAlignment="1">
      <alignment horizontal="center" vertical="center" wrapText="1"/>
    </xf>
    <xf numFmtId="0" fontId="56" fillId="0" borderId="29" xfId="8" applyFont="1" applyBorder="1" applyAlignment="1">
      <alignment horizontal="center" vertical="top"/>
    </xf>
    <xf numFmtId="0" fontId="56" fillId="0" borderId="30" xfId="8" applyFont="1" applyBorder="1" applyAlignment="1">
      <alignment horizontal="center" vertical="top"/>
    </xf>
    <xf numFmtId="0" fontId="56" fillId="0" borderId="31" xfId="8" applyFont="1" applyBorder="1" applyAlignment="1">
      <alignment horizontal="center" vertical="top"/>
    </xf>
    <xf numFmtId="0" fontId="56" fillId="0" borderId="32" xfId="8" applyFont="1" applyBorder="1" applyAlignment="1">
      <alignment horizontal="center" vertical="top"/>
    </xf>
    <xf numFmtId="0" fontId="50" fillId="0" borderId="36" xfId="8" applyFont="1" applyBorder="1" applyAlignment="1">
      <alignment horizontal="center"/>
    </xf>
    <xf numFmtId="0" fontId="50" fillId="0" borderId="37" xfId="8" applyFont="1" applyBorder="1" applyAlignment="1">
      <alignment horizontal="center"/>
    </xf>
    <xf numFmtId="0" fontId="50" fillId="0" borderId="38" xfId="8" applyFont="1" applyBorder="1" applyAlignment="1">
      <alignment horizontal="center"/>
    </xf>
    <xf numFmtId="49" fontId="57" fillId="6" borderId="39" xfId="8" applyNumberFormat="1" applyFont="1" applyFill="1" applyBorder="1" applyAlignment="1">
      <alignment horizontal="center" vertical="center"/>
    </xf>
    <xf numFmtId="49" fontId="57" fillId="6" borderId="23" xfId="8" applyNumberFormat="1" applyFont="1" applyFill="1" applyBorder="1" applyAlignment="1">
      <alignment horizontal="center" vertical="center"/>
    </xf>
    <xf numFmtId="0" fontId="57" fillId="6" borderId="22" xfId="8" applyFont="1" applyFill="1" applyBorder="1" applyAlignment="1">
      <alignment horizontal="left" vertical="center" wrapText="1"/>
    </xf>
    <xf numFmtId="0" fontId="57" fillId="6" borderId="40" xfId="8" applyFont="1" applyFill="1" applyBorder="1" applyAlignment="1">
      <alignment horizontal="left" vertical="center" wrapText="1"/>
    </xf>
    <xf numFmtId="0" fontId="57" fillId="6" borderId="23" xfId="8" applyFont="1" applyFill="1" applyBorder="1" applyAlignment="1">
      <alignment horizontal="left" vertical="center" wrapText="1"/>
    </xf>
    <xf numFmtId="0" fontId="55" fillId="0" borderId="15" xfId="8" applyFont="1" applyBorder="1" applyAlignment="1">
      <alignment horizontal="center" vertical="center" wrapText="1"/>
    </xf>
    <xf numFmtId="0" fontId="55" fillId="0" borderId="16" xfId="8" applyFont="1" applyBorder="1" applyAlignment="1">
      <alignment horizontal="center" vertical="center" wrapText="1"/>
    </xf>
    <xf numFmtId="0" fontId="55" fillId="0" borderId="25" xfId="8" applyFont="1" applyBorder="1" applyAlignment="1">
      <alignment horizontal="center" vertical="center" wrapText="1"/>
    </xf>
    <xf numFmtId="0" fontId="55" fillId="0" borderId="11" xfId="8" applyFont="1" applyBorder="1" applyAlignment="1">
      <alignment horizontal="center" vertical="center" wrapText="1"/>
    </xf>
    <xf numFmtId="0" fontId="55" fillId="0" borderId="17" xfId="8" applyFont="1" applyBorder="1" applyAlignment="1">
      <alignment horizontal="center" vertical="center" wrapText="1"/>
    </xf>
    <xf numFmtId="0" fontId="55" fillId="0" borderId="18" xfId="8" applyFont="1" applyBorder="1" applyAlignment="1">
      <alignment horizontal="center" vertical="center" wrapText="1"/>
    </xf>
    <xf numFmtId="0" fontId="55" fillId="0" borderId="9" xfId="8" applyFont="1" applyBorder="1" applyAlignment="1">
      <alignment horizontal="center" vertical="center" wrapText="1"/>
    </xf>
    <xf numFmtId="0" fontId="55" fillId="0" borderId="10" xfId="8" applyFont="1" applyBorder="1" applyAlignment="1">
      <alignment horizontal="center" vertical="center" wrapText="1"/>
    </xf>
    <xf numFmtId="0" fontId="55" fillId="0" borderId="19" xfId="8" applyFont="1" applyBorder="1" applyAlignment="1">
      <alignment horizontal="center" vertical="center" wrapText="1"/>
    </xf>
    <xf numFmtId="0" fontId="55" fillId="0" borderId="26" xfId="8" applyFont="1" applyBorder="1" applyAlignment="1">
      <alignment horizontal="center" vertical="center" wrapText="1"/>
    </xf>
    <xf numFmtId="0" fontId="55" fillId="0" borderId="23" xfId="8" applyFont="1" applyBorder="1" applyAlignment="1">
      <alignment horizontal="center" vertical="center" wrapText="1"/>
    </xf>
    <xf numFmtId="0" fontId="57" fillId="0" borderId="2" xfId="8" applyFont="1" applyBorder="1" applyAlignment="1">
      <alignment horizontal="left" vertical="center" wrapText="1" indent="2"/>
    </xf>
    <xf numFmtId="0" fontId="57" fillId="0" borderId="7" xfId="8" applyFont="1" applyBorder="1" applyAlignment="1">
      <alignment horizontal="left" vertical="center" wrapText="1" indent="2"/>
    </xf>
    <xf numFmtId="0" fontId="57" fillId="0" borderId="8" xfId="8" applyFont="1" applyBorder="1" applyAlignment="1">
      <alignment horizontal="left" vertical="center" wrapText="1" indent="2"/>
    </xf>
    <xf numFmtId="49" fontId="57" fillId="6" borderId="42" xfId="8" applyNumberFormat="1" applyFont="1" applyFill="1" applyBorder="1" applyAlignment="1">
      <alignment horizontal="center" vertical="center"/>
    </xf>
    <xf numFmtId="49" fontId="57" fillId="6" borderId="8" xfId="8" applyNumberFormat="1" applyFont="1" applyFill="1" applyBorder="1" applyAlignment="1">
      <alignment horizontal="center" vertical="center"/>
    </xf>
    <xf numFmtId="0" fontId="57" fillId="6" borderId="2" xfId="8" applyFont="1" applyFill="1" applyBorder="1" applyAlignment="1">
      <alignment horizontal="left" vertical="center" wrapText="1"/>
    </xf>
    <xf numFmtId="0" fontId="57" fillId="6" borderId="7" xfId="8" applyFont="1" applyFill="1" applyBorder="1" applyAlignment="1">
      <alignment horizontal="left" vertical="center" wrapText="1"/>
    </xf>
    <xf numFmtId="0" fontId="57" fillId="6" borderId="8" xfId="8" applyFont="1" applyFill="1" applyBorder="1" applyAlignment="1">
      <alignment horizontal="left" vertical="center" wrapText="1"/>
    </xf>
    <xf numFmtId="0" fontId="57" fillId="6" borderId="2" xfId="8" applyFont="1" applyFill="1" applyBorder="1" applyAlignment="1">
      <alignment horizontal="left" vertical="center" wrapText="1" indent="1"/>
    </xf>
    <xf numFmtId="0" fontId="57" fillId="6" borderId="7" xfId="8" applyFont="1" applyFill="1" applyBorder="1" applyAlignment="1">
      <alignment horizontal="left" vertical="center" wrapText="1" indent="1"/>
    </xf>
    <xf numFmtId="0" fontId="57" fillId="6" borderId="8" xfId="8" applyFont="1" applyFill="1" applyBorder="1" applyAlignment="1">
      <alignment horizontal="left" vertical="center" wrapText="1" indent="1"/>
    </xf>
    <xf numFmtId="0" fontId="57" fillId="5" borderId="2" xfId="8" applyFont="1" applyFill="1" applyBorder="1" applyAlignment="1">
      <alignment horizontal="left" vertical="center" wrapText="1" indent="4"/>
    </xf>
    <xf numFmtId="0" fontId="57" fillId="5" borderId="7" xfId="8" applyFont="1" applyFill="1" applyBorder="1" applyAlignment="1">
      <alignment horizontal="left" vertical="center" wrapText="1" indent="4"/>
    </xf>
    <xf numFmtId="0" fontId="57" fillId="5" borderId="8" xfId="8" applyFont="1" applyFill="1" applyBorder="1" applyAlignment="1">
      <alignment horizontal="left" vertical="center" wrapText="1" indent="4"/>
    </xf>
    <xf numFmtId="0" fontId="57" fillId="0" borderId="2" xfId="8" applyFont="1" applyBorder="1" applyAlignment="1">
      <alignment horizontal="left" vertical="center" wrapText="1" indent="4"/>
    </xf>
    <xf numFmtId="0" fontId="57" fillId="0" borderId="7" xfId="8" applyFont="1" applyBorder="1" applyAlignment="1">
      <alignment horizontal="left" vertical="center" wrapText="1" indent="4"/>
    </xf>
    <xf numFmtId="0" fontId="57" fillId="0" borderId="8" xfId="8" applyFont="1" applyBorder="1" applyAlignment="1">
      <alignment horizontal="left" vertical="center" wrapText="1" indent="4"/>
    </xf>
    <xf numFmtId="0" fontId="57" fillId="0" borderId="2" xfId="8" applyFont="1" applyBorder="1" applyAlignment="1">
      <alignment horizontal="left" vertical="center" wrapText="1" indent="3"/>
    </xf>
    <xf numFmtId="0" fontId="57" fillId="0" borderId="7" xfId="8" applyFont="1" applyBorder="1" applyAlignment="1">
      <alignment horizontal="left" vertical="center" wrapText="1" indent="3"/>
    </xf>
    <xf numFmtId="0" fontId="57" fillId="0" borderId="8" xfId="8" applyFont="1" applyBorder="1" applyAlignment="1">
      <alignment horizontal="left" vertical="center" wrapText="1" indent="3"/>
    </xf>
    <xf numFmtId="0" fontId="57" fillId="5" borderId="2" xfId="8" applyFont="1" applyFill="1" applyBorder="1" applyAlignment="1">
      <alignment horizontal="left" vertical="center" wrapText="1" indent="2"/>
    </xf>
    <xf numFmtId="0" fontId="57" fillId="5" borderId="7" xfId="8" applyFont="1" applyFill="1" applyBorder="1" applyAlignment="1">
      <alignment horizontal="left" vertical="center" wrapText="1" indent="2"/>
    </xf>
    <xf numFmtId="0" fontId="57" fillId="5" borderId="8" xfId="8" applyFont="1" applyFill="1" applyBorder="1" applyAlignment="1">
      <alignment horizontal="left" vertical="center" wrapText="1" indent="2"/>
    </xf>
    <xf numFmtId="49" fontId="57" fillId="5" borderId="29" xfId="8" applyNumberFormat="1" applyFont="1" applyFill="1" applyBorder="1" applyAlignment="1">
      <alignment horizontal="center" vertical="center"/>
    </xf>
    <xf numFmtId="49" fontId="57" fillId="5" borderId="30" xfId="8" applyNumberFormat="1" applyFont="1" applyFill="1" applyBorder="1" applyAlignment="1">
      <alignment horizontal="center" vertical="center"/>
    </xf>
    <xf numFmtId="0" fontId="57" fillId="5" borderId="31" xfId="8" applyFont="1" applyFill="1" applyBorder="1" applyAlignment="1">
      <alignment horizontal="left" vertical="center" wrapText="1" indent="2"/>
    </xf>
    <xf numFmtId="0" fontId="57" fillId="5" borderId="32" xfId="8" applyFont="1" applyFill="1" applyBorder="1" applyAlignment="1">
      <alignment horizontal="left" vertical="center" wrapText="1" indent="2"/>
    </xf>
    <xf numFmtId="0" fontId="57" fillId="5" borderId="30" xfId="8" applyFont="1" applyFill="1" applyBorder="1" applyAlignment="1">
      <alignment horizontal="left" vertical="center" wrapText="1" indent="2"/>
    </xf>
    <xf numFmtId="0" fontId="57" fillId="6" borderId="22" xfId="8" applyFont="1" applyFill="1" applyBorder="1" applyAlignment="1">
      <alignment horizontal="left" vertical="center" wrapText="1" indent="1"/>
    </xf>
    <xf numFmtId="0" fontId="57" fillId="6" borderId="40" xfId="8" applyFont="1" applyFill="1" applyBorder="1" applyAlignment="1">
      <alignment horizontal="left" vertical="center" wrapText="1" indent="1"/>
    </xf>
    <xf numFmtId="0" fontId="57" fillId="6" borderId="23" xfId="8" applyFont="1" applyFill="1" applyBorder="1" applyAlignment="1">
      <alignment horizontal="left" vertical="center" wrapText="1" indent="1"/>
    </xf>
    <xf numFmtId="49" fontId="57" fillId="0" borderId="39" xfId="8" applyNumberFormat="1" applyFont="1" applyBorder="1" applyAlignment="1">
      <alignment horizontal="center" vertical="center"/>
    </xf>
    <xf numFmtId="49" fontId="57" fillId="0" borderId="23" xfId="8" applyNumberFormat="1" applyFont="1" applyBorder="1" applyAlignment="1">
      <alignment horizontal="center" vertical="center"/>
    </xf>
    <xf numFmtId="0" fontId="57" fillId="0" borderId="22" xfId="8" applyFont="1" applyBorder="1" applyAlignment="1">
      <alignment horizontal="left" vertical="center" wrapText="1"/>
    </xf>
    <xf numFmtId="0" fontId="57" fillId="0" borderId="40" xfId="8" applyFont="1" applyBorder="1" applyAlignment="1">
      <alignment horizontal="left" vertical="center" wrapText="1"/>
    </xf>
    <xf numFmtId="0" fontId="57" fillId="0" borderId="23" xfId="8" applyFont="1" applyBorder="1" applyAlignment="1">
      <alignment horizontal="left" vertical="center" wrapText="1"/>
    </xf>
    <xf numFmtId="49" fontId="57" fillId="0" borderId="29" xfId="8" applyNumberFormat="1" applyFont="1" applyBorder="1" applyAlignment="1">
      <alignment horizontal="center" vertical="center"/>
    </xf>
    <xf numFmtId="49" fontId="57" fillId="0" borderId="30" xfId="8" applyNumberFormat="1" applyFont="1" applyBorder="1" applyAlignment="1">
      <alignment horizontal="center" vertical="center"/>
    </xf>
    <xf numFmtId="0" fontId="57" fillId="0" borderId="31" xfId="8" applyFont="1" applyBorder="1" applyAlignment="1">
      <alignment horizontal="left" vertical="center" wrapText="1" indent="1"/>
    </xf>
    <xf numFmtId="0" fontId="57" fillId="0" borderId="32" xfId="8" applyFont="1" applyBorder="1" applyAlignment="1">
      <alignment horizontal="left" vertical="center" wrapText="1" indent="1"/>
    </xf>
    <xf numFmtId="0" fontId="57" fillId="0" borderId="30" xfId="8" applyFont="1" applyBorder="1" applyAlignment="1">
      <alignment horizontal="left" vertical="center" wrapText="1" indent="1"/>
    </xf>
    <xf numFmtId="0" fontId="57" fillId="0" borderId="2" xfId="8" applyFont="1" applyBorder="1" applyAlignment="1">
      <alignment horizontal="left" vertical="center" wrapText="1"/>
    </xf>
    <xf numFmtId="0" fontId="57" fillId="0" borderId="7" xfId="8" applyFont="1" applyBorder="1" applyAlignment="1">
      <alignment horizontal="left" vertical="center" wrapText="1"/>
    </xf>
    <xf numFmtId="0" fontId="57" fillId="0" borderId="8" xfId="8" applyFont="1" applyBorder="1" applyAlignment="1">
      <alignment horizontal="left" vertical="center" wrapText="1"/>
    </xf>
    <xf numFmtId="0" fontId="57" fillId="0" borderId="31" xfId="8" applyFont="1" applyBorder="1" applyAlignment="1">
      <alignment horizontal="left" vertical="center" wrapText="1"/>
    </xf>
    <xf numFmtId="0" fontId="57" fillId="0" borderId="32" xfId="8" applyFont="1" applyBorder="1" applyAlignment="1">
      <alignment horizontal="left" vertical="center" wrapText="1"/>
    </xf>
    <xf numFmtId="0" fontId="57" fillId="0" borderId="30" xfId="8" applyFont="1" applyBorder="1" applyAlignment="1">
      <alignment horizontal="left" vertical="center" wrapText="1"/>
    </xf>
    <xf numFmtId="49" fontId="57" fillId="0" borderId="25" xfId="8" applyNumberFormat="1" applyFont="1" applyBorder="1" applyAlignment="1">
      <alignment horizontal="center" vertical="center"/>
    </xf>
    <xf numFmtId="49" fontId="57" fillId="0" borderId="11" xfId="8" applyNumberFormat="1" applyFont="1" applyBorder="1" applyAlignment="1">
      <alignment horizontal="center" vertical="center"/>
    </xf>
    <xf numFmtId="0" fontId="57" fillId="0" borderId="9" xfId="8" applyFont="1" applyBorder="1" applyAlignment="1">
      <alignment horizontal="left" vertical="center" wrapText="1"/>
    </xf>
    <xf numFmtId="0" fontId="57" fillId="0" borderId="10" xfId="8" applyFont="1" applyBorder="1" applyAlignment="1">
      <alignment horizontal="left" vertical="center" wrapText="1"/>
    </xf>
    <xf numFmtId="0" fontId="57" fillId="0" borderId="11" xfId="8" applyFont="1" applyBorder="1" applyAlignment="1">
      <alignment horizontal="left" vertical="center" wrapText="1"/>
    </xf>
    <xf numFmtId="0" fontId="57" fillId="5" borderId="2" xfId="8" applyFont="1" applyFill="1" applyBorder="1" applyAlignment="1">
      <alignment horizontal="left" vertical="center" wrapText="1" indent="3"/>
    </xf>
    <xf numFmtId="0" fontId="57" fillId="5" borderId="7" xfId="8" applyFont="1" applyFill="1" applyBorder="1" applyAlignment="1">
      <alignment horizontal="left" vertical="center" wrapText="1" indent="3"/>
    </xf>
    <xf numFmtId="0" fontId="57" fillId="5" borderId="8" xfId="8" applyFont="1" applyFill="1" applyBorder="1" applyAlignment="1">
      <alignment horizontal="left" vertical="center" wrapText="1" indent="3"/>
    </xf>
    <xf numFmtId="0" fontId="57" fillId="0" borderId="31" xfId="8" applyFont="1" applyBorder="1" applyAlignment="1">
      <alignment horizontal="left" vertical="center" wrapText="1" indent="3"/>
    </xf>
    <xf numFmtId="0" fontId="57" fillId="0" borderId="32" xfId="8" applyFont="1" applyBorder="1" applyAlignment="1">
      <alignment horizontal="left" vertical="center" wrapText="1" indent="3"/>
    </xf>
    <xf numFmtId="0" fontId="57" fillId="0" borderId="30" xfId="8" applyFont="1" applyBorder="1" applyAlignment="1">
      <alignment horizontal="left" vertical="center" wrapText="1" indent="3"/>
    </xf>
    <xf numFmtId="49" fontId="57" fillId="0" borderId="44" xfId="8" applyNumberFormat="1" applyFont="1" applyBorder="1" applyAlignment="1">
      <alignment horizontal="center" vertical="center"/>
    </xf>
    <xf numFmtId="49" fontId="57" fillId="0" borderId="6" xfId="8" applyNumberFormat="1" applyFont="1" applyBorder="1" applyAlignment="1">
      <alignment horizontal="center" vertical="center"/>
    </xf>
    <xf numFmtId="0" fontId="57" fillId="6" borderId="4" xfId="8" applyFont="1" applyFill="1" applyBorder="1" applyAlignment="1">
      <alignment horizontal="left" vertical="center" wrapText="1"/>
    </xf>
    <xf numFmtId="0" fontId="57" fillId="6" borderId="5" xfId="8" applyFont="1" applyFill="1" applyBorder="1" applyAlignment="1">
      <alignment horizontal="left" vertical="center" wrapText="1"/>
    </xf>
    <xf numFmtId="0" fontId="57" fillId="6" borderId="6" xfId="8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10" xfId="10"/>
    <cellStyle name="Обычный 2" xfId="8"/>
    <cellStyle name="Обычный 3" xfId="2"/>
    <cellStyle name="Обычный 4" xfId="4"/>
    <cellStyle name="Обычный 5" xfId="6"/>
    <cellStyle name="Обычный 6" xfId="7"/>
    <cellStyle name="Обычный 6 2 3" xfId="3"/>
    <cellStyle name="Обычный 7" xfId="1"/>
    <cellStyle name="Обычный 8" xfId="9"/>
    <cellStyle name="Обычный_Форматы по компаниям_last" xfId="5"/>
  </cellStyles>
  <dxfs count="0"/>
  <tableStyles count="0" defaultTableStyle="TableStyleMedium2" defaultPivotStyle="PivotStyleLight16"/>
  <colors>
    <mruColors>
      <color rgb="FFFFFFCC"/>
      <color rgb="FF99CCFF"/>
      <color rgb="FFFFCCCC"/>
      <color rgb="FFCCFFCC"/>
      <color rgb="FFFF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D4:D10" totalsRowShown="0">
  <autoFilter ref="D4:D10"/>
  <tableColumns count="1">
    <tableColumn id="1" name="Задач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W31"/>
  <sheetViews>
    <sheetView topLeftCell="A13" zoomScale="71" zoomScaleNormal="71" workbookViewId="0">
      <selection activeCell="Q17" sqref="Q17:Q27"/>
    </sheetView>
  </sheetViews>
  <sheetFormatPr defaultColWidth="8.85546875" defaultRowHeight="15.75" outlineLevelRow="1" x14ac:dyDescent="0.25"/>
  <cols>
    <col min="1" max="1" width="10" style="14" customWidth="1"/>
    <col min="2" max="2" width="89.5703125" style="14" customWidth="1"/>
    <col min="3" max="3" width="14.42578125" customWidth="1"/>
    <col min="4" max="15" width="9.28515625" customWidth="1"/>
    <col min="16" max="16" width="8.140625" style="344" customWidth="1"/>
    <col min="17" max="17" width="11.28515625" style="344" customWidth="1"/>
    <col min="18" max="18" width="8.140625" style="344" customWidth="1"/>
    <col min="19" max="19" width="11" style="344" customWidth="1"/>
    <col min="20" max="23" width="9.28515625" customWidth="1"/>
  </cols>
  <sheetData>
    <row r="1" spans="1:23" ht="18.75" x14ac:dyDescent="0.25">
      <c r="A1" s="603" t="s">
        <v>0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</row>
    <row r="2" spans="1:23" ht="18.75" x14ac:dyDescent="0.3">
      <c r="A2" s="604" t="s">
        <v>654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</row>
    <row r="3" spans="1:23" ht="18.75" x14ac:dyDescent="0.3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34"/>
      <c r="Q3" s="334"/>
      <c r="R3" s="339"/>
      <c r="S3" s="339"/>
      <c r="T3" s="1"/>
      <c r="U3" s="1"/>
      <c r="V3" s="1"/>
      <c r="W3" s="1"/>
    </row>
    <row r="4" spans="1:23" ht="18.75" x14ac:dyDescent="0.25">
      <c r="A4" s="599" t="s">
        <v>1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</row>
    <row r="5" spans="1:23" x14ac:dyDescent="0.25">
      <c r="A5" s="605" t="s">
        <v>2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</row>
    <row r="6" spans="1:23" x14ac:dyDescent="0.25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40"/>
      <c r="Q6" s="340"/>
      <c r="R6" s="341"/>
      <c r="S6" s="341"/>
      <c r="T6" s="1"/>
      <c r="U6" s="1"/>
      <c r="V6" s="1"/>
      <c r="W6" s="1"/>
    </row>
    <row r="7" spans="1:23" ht="18.75" x14ac:dyDescent="0.25">
      <c r="A7" s="599" t="s">
        <v>655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</row>
    <row r="8" spans="1:23" ht="18.75" x14ac:dyDescent="0.25">
      <c r="A8" s="4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54"/>
      <c r="Q8" s="354"/>
      <c r="R8" s="354"/>
      <c r="S8" s="354"/>
      <c r="T8" s="355"/>
      <c r="U8" s="4"/>
      <c r="V8" s="4"/>
      <c r="W8" s="4"/>
    </row>
    <row r="9" spans="1:23" ht="18.75" x14ac:dyDescent="0.25">
      <c r="A9" s="599" t="s">
        <v>1346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352"/>
      <c r="V9" s="352"/>
      <c r="W9" s="352"/>
    </row>
    <row r="10" spans="1:23" ht="15.75" customHeight="1" x14ac:dyDescent="0.25">
      <c r="A10" s="600" t="s">
        <v>174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</row>
    <row r="11" spans="1:23" ht="15.75" customHeight="1" x14ac:dyDescent="0.3">
      <c r="A11" s="601"/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</row>
    <row r="12" spans="1:23" ht="31.5" customHeight="1" x14ac:dyDescent="0.25">
      <c r="A12" s="602" t="s">
        <v>3</v>
      </c>
      <c r="B12" s="602" t="s">
        <v>4</v>
      </c>
      <c r="C12" s="602" t="s">
        <v>5</v>
      </c>
      <c r="D12" s="602" t="s">
        <v>6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</row>
    <row r="13" spans="1:23" ht="87" customHeight="1" x14ac:dyDescent="0.25">
      <c r="A13" s="602"/>
      <c r="B13" s="602"/>
      <c r="C13" s="602"/>
      <c r="D13" s="602" t="s">
        <v>7</v>
      </c>
      <c r="E13" s="602"/>
      <c r="F13" s="602"/>
      <c r="G13" s="602"/>
      <c r="H13" s="602"/>
      <c r="I13" s="602"/>
      <c r="J13" s="602" t="s">
        <v>8</v>
      </c>
      <c r="K13" s="602"/>
      <c r="L13" s="602"/>
      <c r="M13" s="602"/>
      <c r="N13" s="602"/>
      <c r="O13" s="602"/>
      <c r="P13" s="606" t="s">
        <v>1319</v>
      </c>
      <c r="Q13" s="606"/>
      <c r="R13" s="606"/>
      <c r="S13" s="606"/>
      <c r="T13" s="602" t="s">
        <v>9</v>
      </c>
      <c r="U13" s="602"/>
      <c r="V13" s="602"/>
      <c r="W13" s="602"/>
    </row>
    <row r="14" spans="1:23" ht="179.25" customHeight="1" x14ac:dyDescent="0.25">
      <c r="A14" s="602"/>
      <c r="B14" s="602"/>
      <c r="C14" s="602"/>
      <c r="D14" s="602" t="s">
        <v>10</v>
      </c>
      <c r="E14" s="602"/>
      <c r="F14" s="602" t="s">
        <v>11</v>
      </c>
      <c r="G14" s="602"/>
      <c r="H14" s="602" t="s">
        <v>12</v>
      </c>
      <c r="I14" s="602"/>
      <c r="J14" s="602" t="s">
        <v>13</v>
      </c>
      <c r="K14" s="602"/>
      <c r="L14" s="602" t="s">
        <v>14</v>
      </c>
      <c r="M14" s="602"/>
      <c r="N14" s="602" t="s">
        <v>15</v>
      </c>
      <c r="O14" s="602"/>
      <c r="P14" s="607" t="s">
        <v>1320</v>
      </c>
      <c r="Q14" s="607"/>
      <c r="R14" s="606" t="s">
        <v>1321</v>
      </c>
      <c r="S14" s="606"/>
      <c r="T14" s="602" t="s">
        <v>16</v>
      </c>
      <c r="U14" s="602"/>
      <c r="V14" s="602" t="s">
        <v>17</v>
      </c>
      <c r="W14" s="602"/>
    </row>
    <row r="15" spans="1:23" ht="131.25" x14ac:dyDescent="0.25">
      <c r="A15" s="602"/>
      <c r="B15" s="602"/>
      <c r="C15" s="602"/>
      <c r="D15" s="5" t="s">
        <v>464</v>
      </c>
      <c r="E15" s="5" t="s">
        <v>87</v>
      </c>
      <c r="F15" s="5" t="s">
        <v>464</v>
      </c>
      <c r="G15" s="5" t="s">
        <v>87</v>
      </c>
      <c r="H15" s="5" t="s">
        <v>464</v>
      </c>
      <c r="I15" s="5" t="s">
        <v>87</v>
      </c>
      <c r="J15" s="5" t="s">
        <v>464</v>
      </c>
      <c r="K15" s="5" t="s">
        <v>87</v>
      </c>
      <c r="L15" s="5" t="s">
        <v>464</v>
      </c>
      <c r="M15" s="5" t="s">
        <v>87</v>
      </c>
      <c r="N15" s="5" t="s">
        <v>464</v>
      </c>
      <c r="O15" s="5" t="s">
        <v>87</v>
      </c>
      <c r="P15" s="345" t="s">
        <v>1322</v>
      </c>
      <c r="Q15" s="345" t="s">
        <v>1323</v>
      </c>
      <c r="R15" s="346" t="s">
        <v>1322</v>
      </c>
      <c r="S15" s="346" t="s">
        <v>1323</v>
      </c>
      <c r="T15" s="5" t="s">
        <v>464</v>
      </c>
      <c r="U15" s="5" t="s">
        <v>87</v>
      </c>
      <c r="V15" s="5" t="s">
        <v>464</v>
      </c>
      <c r="W15" s="5" t="s">
        <v>87</v>
      </c>
    </row>
    <row r="16" spans="1:23" x14ac:dyDescent="0.25">
      <c r="A16" s="6">
        <v>1</v>
      </c>
      <c r="B16" s="7">
        <v>2</v>
      </c>
      <c r="C16" s="6">
        <v>3</v>
      </c>
      <c r="D16" s="8" t="s">
        <v>18</v>
      </c>
      <c r="E16" s="8" t="s">
        <v>19</v>
      </c>
      <c r="F16" s="8" t="s">
        <v>20</v>
      </c>
      <c r="G16" s="8" t="s">
        <v>21</v>
      </c>
      <c r="H16" s="8" t="s">
        <v>1344</v>
      </c>
      <c r="I16" s="8" t="s">
        <v>1345</v>
      </c>
      <c r="J16" s="8" t="s">
        <v>23</v>
      </c>
      <c r="K16" s="8" t="s">
        <v>24</v>
      </c>
      <c r="L16" s="8" t="s">
        <v>25</v>
      </c>
      <c r="M16" s="8" t="s">
        <v>26</v>
      </c>
      <c r="N16" s="8" t="s">
        <v>150</v>
      </c>
      <c r="O16" s="8" t="s">
        <v>151</v>
      </c>
      <c r="P16" s="342" t="s">
        <v>856</v>
      </c>
      <c r="Q16" s="342" t="s">
        <v>858</v>
      </c>
      <c r="R16" s="343" t="s">
        <v>860</v>
      </c>
      <c r="S16" s="343" t="s">
        <v>862</v>
      </c>
      <c r="T16" s="8" t="s">
        <v>27</v>
      </c>
      <c r="U16" s="8" t="s">
        <v>28</v>
      </c>
      <c r="V16" s="8" t="s">
        <v>29</v>
      </c>
      <c r="W16" s="8" t="s">
        <v>30</v>
      </c>
    </row>
    <row r="17" spans="1:23" s="21" customFormat="1" x14ac:dyDescent="0.25">
      <c r="A17" s="18" t="s">
        <v>31</v>
      </c>
      <c r="B17" s="19" t="s">
        <v>32</v>
      </c>
      <c r="C17" s="26" t="s">
        <v>33</v>
      </c>
      <c r="D17" s="26" t="s">
        <v>33</v>
      </c>
      <c r="E17" s="26" t="s">
        <v>33</v>
      </c>
      <c r="F17" s="26" t="s">
        <v>33</v>
      </c>
      <c r="G17" s="26" t="s">
        <v>33</v>
      </c>
      <c r="H17" s="26" t="s">
        <v>33</v>
      </c>
      <c r="I17" s="26" t="s">
        <v>33</v>
      </c>
      <c r="J17" s="26" t="s">
        <v>33</v>
      </c>
      <c r="K17" s="26" t="s">
        <v>33</v>
      </c>
      <c r="L17" s="26" t="s">
        <v>33</v>
      </c>
      <c r="M17" s="26" t="s">
        <v>33</v>
      </c>
      <c r="N17" s="26" t="s">
        <v>33</v>
      </c>
      <c r="O17" s="26" t="s">
        <v>33</v>
      </c>
      <c r="P17" s="350">
        <f>P18</f>
        <v>347</v>
      </c>
      <c r="Q17" s="350">
        <f>Q18</f>
        <v>347</v>
      </c>
      <c r="R17" s="26" t="s">
        <v>33</v>
      </c>
      <c r="S17" s="26" t="s">
        <v>33</v>
      </c>
      <c r="T17" s="26" t="s">
        <v>33</v>
      </c>
      <c r="U17" s="26" t="s">
        <v>33</v>
      </c>
      <c r="V17" s="26" t="s">
        <v>33</v>
      </c>
      <c r="W17" s="26" t="s">
        <v>33</v>
      </c>
    </row>
    <row r="18" spans="1:23" s="20" customFormat="1" x14ac:dyDescent="0.25">
      <c r="A18" s="16" t="s">
        <v>55</v>
      </c>
      <c r="B18" s="17" t="s">
        <v>34</v>
      </c>
      <c r="C18" s="27" t="s">
        <v>33</v>
      </c>
      <c r="D18" s="27" t="s">
        <v>33</v>
      </c>
      <c r="E18" s="27" t="s">
        <v>33</v>
      </c>
      <c r="F18" s="27" t="s">
        <v>33</v>
      </c>
      <c r="G18" s="27" t="s">
        <v>33</v>
      </c>
      <c r="H18" s="27" t="s">
        <v>33</v>
      </c>
      <c r="I18" s="27" t="s">
        <v>33</v>
      </c>
      <c r="J18" s="27" t="s">
        <v>33</v>
      </c>
      <c r="K18" s="27" t="s">
        <v>33</v>
      </c>
      <c r="L18" s="27" t="s">
        <v>33</v>
      </c>
      <c r="M18" s="27" t="s">
        <v>33</v>
      </c>
      <c r="N18" s="27" t="s">
        <v>33</v>
      </c>
      <c r="O18" s="27" t="s">
        <v>33</v>
      </c>
      <c r="P18" s="351">
        <f>P19</f>
        <v>347</v>
      </c>
      <c r="Q18" s="351">
        <f>Q19</f>
        <v>347</v>
      </c>
      <c r="R18" s="27" t="s">
        <v>33</v>
      </c>
      <c r="S18" s="27" t="s">
        <v>33</v>
      </c>
      <c r="T18" s="27" t="s">
        <v>33</v>
      </c>
      <c r="U18" s="27" t="s">
        <v>33</v>
      </c>
      <c r="V18" s="27" t="s">
        <v>33</v>
      </c>
      <c r="W18" s="27" t="s">
        <v>33</v>
      </c>
    </row>
    <row r="19" spans="1:23" s="21" customFormat="1" x14ac:dyDescent="0.25">
      <c r="A19" s="18" t="s">
        <v>36</v>
      </c>
      <c r="B19" s="19" t="s">
        <v>37</v>
      </c>
      <c r="C19" s="26" t="s">
        <v>33</v>
      </c>
      <c r="D19" s="26" t="s">
        <v>33</v>
      </c>
      <c r="E19" s="26" t="s">
        <v>33</v>
      </c>
      <c r="F19" s="26" t="s">
        <v>33</v>
      </c>
      <c r="G19" s="26" t="s">
        <v>33</v>
      </c>
      <c r="H19" s="26" t="s">
        <v>33</v>
      </c>
      <c r="I19" s="26" t="s">
        <v>33</v>
      </c>
      <c r="J19" s="26" t="s">
        <v>33</v>
      </c>
      <c r="K19" s="26" t="s">
        <v>33</v>
      </c>
      <c r="L19" s="26" t="s">
        <v>33</v>
      </c>
      <c r="M19" s="26" t="s">
        <v>33</v>
      </c>
      <c r="N19" s="26" t="s">
        <v>33</v>
      </c>
      <c r="O19" s="26" t="s">
        <v>33</v>
      </c>
      <c r="P19" s="350">
        <f>P25</f>
        <v>347</v>
      </c>
      <c r="Q19" s="350">
        <f>Q25</f>
        <v>347</v>
      </c>
      <c r="R19" s="26" t="s">
        <v>33</v>
      </c>
      <c r="S19" s="26" t="s">
        <v>33</v>
      </c>
      <c r="T19" s="26" t="s">
        <v>33</v>
      </c>
      <c r="U19" s="26" t="s">
        <v>33</v>
      </c>
      <c r="V19" s="26" t="s">
        <v>33</v>
      </c>
      <c r="W19" s="26" t="s">
        <v>33</v>
      </c>
    </row>
    <row r="20" spans="1:23" s="25" customFormat="1" ht="31.5" customHeight="1" x14ac:dyDescent="0.25">
      <c r="A20" s="23" t="s">
        <v>53</v>
      </c>
      <c r="B20" s="24" t="s">
        <v>54</v>
      </c>
      <c r="C20" s="28" t="str">
        <f>C21</f>
        <v>нд</v>
      </c>
      <c r="D20" s="28" t="str">
        <f t="shared" ref="D20:W20" si="0">D21</f>
        <v>нд</v>
      </c>
      <c r="E20" s="28" t="str">
        <f t="shared" si="0"/>
        <v>нд</v>
      </c>
      <c r="F20" s="28" t="str">
        <f t="shared" si="0"/>
        <v>нд</v>
      </c>
      <c r="G20" s="28" t="str">
        <f t="shared" si="0"/>
        <v>нд</v>
      </c>
      <c r="H20" s="28" t="str">
        <f t="shared" si="0"/>
        <v>нд</v>
      </c>
      <c r="I20" s="28" t="str">
        <f t="shared" si="0"/>
        <v>нд</v>
      </c>
      <c r="J20" s="28" t="str">
        <f t="shared" si="0"/>
        <v>нд</v>
      </c>
      <c r="K20" s="28" t="str">
        <f t="shared" si="0"/>
        <v>нд</v>
      </c>
      <c r="L20" s="28" t="str">
        <f t="shared" si="0"/>
        <v>нд</v>
      </c>
      <c r="M20" s="28" t="str">
        <f t="shared" si="0"/>
        <v>нд</v>
      </c>
      <c r="N20" s="28" t="str">
        <f t="shared" si="0"/>
        <v>нд</v>
      </c>
      <c r="O20" s="28" t="str">
        <f t="shared" si="0"/>
        <v>нд</v>
      </c>
      <c r="P20" s="28" t="s">
        <v>33</v>
      </c>
      <c r="Q20" s="28" t="s">
        <v>33</v>
      </c>
      <c r="R20" s="28" t="s">
        <v>33</v>
      </c>
      <c r="S20" s="28" t="s">
        <v>33</v>
      </c>
      <c r="T20" s="28" t="str">
        <f t="shared" si="0"/>
        <v>нд</v>
      </c>
      <c r="U20" s="28" t="str">
        <f t="shared" si="0"/>
        <v>нд</v>
      </c>
      <c r="V20" s="28" t="str">
        <f t="shared" si="0"/>
        <v>нд</v>
      </c>
      <c r="W20" s="28" t="str">
        <f t="shared" si="0"/>
        <v>нд</v>
      </c>
    </row>
    <row r="21" spans="1:23" ht="18.75" customHeight="1" x14ac:dyDescent="0.25">
      <c r="A21" s="13" t="s">
        <v>38</v>
      </c>
      <c r="B21" s="15" t="s">
        <v>39</v>
      </c>
      <c r="C21" s="29" t="s">
        <v>33</v>
      </c>
      <c r="D21" s="29" t="str">
        <f t="shared" ref="D21:W21" si="1">D22</f>
        <v>нд</v>
      </c>
      <c r="E21" s="29" t="str">
        <f t="shared" si="1"/>
        <v>нд</v>
      </c>
      <c r="F21" s="29" t="str">
        <f t="shared" si="1"/>
        <v>нд</v>
      </c>
      <c r="G21" s="29" t="str">
        <f t="shared" si="1"/>
        <v>нд</v>
      </c>
      <c r="H21" s="29" t="str">
        <f t="shared" si="1"/>
        <v>нд</v>
      </c>
      <c r="I21" s="29" t="str">
        <f t="shared" si="1"/>
        <v>нд</v>
      </c>
      <c r="J21" s="29" t="str">
        <f t="shared" si="1"/>
        <v>нд</v>
      </c>
      <c r="K21" s="29" t="str">
        <f t="shared" si="1"/>
        <v>нд</v>
      </c>
      <c r="L21" s="29" t="str">
        <f t="shared" si="1"/>
        <v>нд</v>
      </c>
      <c r="M21" s="29" t="str">
        <f t="shared" si="1"/>
        <v>нд</v>
      </c>
      <c r="N21" s="29" t="str">
        <f t="shared" si="1"/>
        <v>нд</v>
      </c>
      <c r="O21" s="29" t="str">
        <f t="shared" si="1"/>
        <v>нд</v>
      </c>
      <c r="P21" s="29" t="s">
        <v>33</v>
      </c>
      <c r="Q21" s="29" t="s">
        <v>33</v>
      </c>
      <c r="R21" s="29" t="s">
        <v>33</v>
      </c>
      <c r="S21" s="29" t="s">
        <v>33</v>
      </c>
      <c r="T21" s="29" t="str">
        <f t="shared" si="1"/>
        <v>нд</v>
      </c>
      <c r="U21" s="29" t="str">
        <f t="shared" si="1"/>
        <v>нд</v>
      </c>
      <c r="V21" s="29" t="str">
        <f t="shared" si="1"/>
        <v>нд</v>
      </c>
      <c r="W21" s="29" t="str">
        <f t="shared" si="1"/>
        <v>нд</v>
      </c>
    </row>
    <row r="22" spans="1:23" s="189" customFormat="1" x14ac:dyDescent="0.25">
      <c r="A22" s="200" t="s">
        <v>40</v>
      </c>
      <c r="B22" s="236" t="s">
        <v>647</v>
      </c>
      <c r="C22" s="201" t="s">
        <v>636</v>
      </c>
      <c r="D22" s="221" t="s">
        <v>33</v>
      </c>
      <c r="E22" s="221" t="s">
        <v>33</v>
      </c>
      <c r="F22" s="221" t="s">
        <v>33</v>
      </c>
      <c r="G22" s="221" t="s">
        <v>33</v>
      </c>
      <c r="H22" s="221" t="s">
        <v>33</v>
      </c>
      <c r="I22" s="221" t="s">
        <v>33</v>
      </c>
      <c r="J22" s="221" t="s">
        <v>33</v>
      </c>
      <c r="K22" s="221" t="s">
        <v>33</v>
      </c>
      <c r="L22" s="221" t="s">
        <v>33</v>
      </c>
      <c r="M22" s="221" t="s">
        <v>33</v>
      </c>
      <c r="N22" s="221" t="s">
        <v>33</v>
      </c>
      <c r="O22" s="221" t="s">
        <v>33</v>
      </c>
      <c r="P22" s="221" t="s">
        <v>33</v>
      </c>
      <c r="Q22" s="221" t="s">
        <v>33</v>
      </c>
      <c r="R22" s="221" t="s">
        <v>33</v>
      </c>
      <c r="S22" s="221" t="s">
        <v>33</v>
      </c>
      <c r="T22" s="221" t="s">
        <v>33</v>
      </c>
      <c r="U22" s="221" t="s">
        <v>33</v>
      </c>
      <c r="V22" s="221" t="s">
        <v>33</v>
      </c>
      <c r="W22" s="221" t="s">
        <v>33</v>
      </c>
    </row>
    <row r="23" spans="1:23" s="25" customFormat="1" ht="31.5" x14ac:dyDescent="0.25">
      <c r="A23" s="23" t="s">
        <v>41</v>
      </c>
      <c r="B23" s="24" t="s">
        <v>42</v>
      </c>
      <c r="C23" s="28" t="str">
        <f>C24</f>
        <v>нд</v>
      </c>
      <c r="D23" s="28" t="str">
        <f>D24</f>
        <v>нд</v>
      </c>
      <c r="E23" s="28" t="str">
        <f t="shared" ref="E23:W23" si="2">E24</f>
        <v>нд</v>
      </c>
      <c r="F23" s="28" t="str">
        <f t="shared" si="2"/>
        <v>нд</v>
      </c>
      <c r="G23" s="28" t="str">
        <f t="shared" si="2"/>
        <v>нд</v>
      </c>
      <c r="H23" s="28" t="str">
        <f t="shared" si="2"/>
        <v>нд</v>
      </c>
      <c r="I23" s="28" t="str">
        <f t="shared" si="2"/>
        <v>нд</v>
      </c>
      <c r="J23" s="28" t="str">
        <f t="shared" si="2"/>
        <v>нд</v>
      </c>
      <c r="K23" s="28" t="str">
        <f t="shared" si="2"/>
        <v>нд</v>
      </c>
      <c r="L23" s="28" t="str">
        <f t="shared" si="2"/>
        <v>нд</v>
      </c>
      <c r="M23" s="28" t="str">
        <f t="shared" si="2"/>
        <v>нд</v>
      </c>
      <c r="N23" s="28" t="str">
        <f t="shared" si="2"/>
        <v>нд</v>
      </c>
      <c r="O23" s="28" t="str">
        <f t="shared" si="2"/>
        <v>нд</v>
      </c>
      <c r="P23" s="28" t="s">
        <v>33</v>
      </c>
      <c r="Q23" s="28" t="s">
        <v>33</v>
      </c>
      <c r="R23" s="28" t="s">
        <v>33</v>
      </c>
      <c r="S23" s="28" t="s">
        <v>33</v>
      </c>
      <c r="T23" s="28" t="str">
        <f t="shared" si="2"/>
        <v>нд</v>
      </c>
      <c r="U23" s="28" t="str">
        <f t="shared" si="2"/>
        <v>нд</v>
      </c>
      <c r="V23" s="28" t="str">
        <f t="shared" si="2"/>
        <v>нд</v>
      </c>
      <c r="W23" s="28" t="str">
        <f t="shared" si="2"/>
        <v>нд</v>
      </c>
    </row>
    <row r="24" spans="1:23" ht="25.5" customHeight="1" x14ac:dyDescent="0.25">
      <c r="A24" s="13" t="s">
        <v>66</v>
      </c>
      <c r="B24" s="15" t="s">
        <v>67</v>
      </c>
      <c r="C24" s="29" t="s">
        <v>33</v>
      </c>
      <c r="D24" s="29" t="s">
        <v>33</v>
      </c>
      <c r="E24" s="29" t="s">
        <v>33</v>
      </c>
      <c r="F24" s="29" t="s">
        <v>33</v>
      </c>
      <c r="G24" s="29" t="s">
        <v>33</v>
      </c>
      <c r="H24" s="29" t="s">
        <v>33</v>
      </c>
      <c r="I24" s="29" t="s">
        <v>33</v>
      </c>
      <c r="J24" s="29" t="s">
        <v>33</v>
      </c>
      <c r="K24" s="29" t="s">
        <v>33</v>
      </c>
      <c r="L24" s="29" t="s">
        <v>33</v>
      </c>
      <c r="M24" s="29" t="s">
        <v>33</v>
      </c>
      <c r="N24" s="29" t="s">
        <v>33</v>
      </c>
      <c r="O24" s="29" t="s">
        <v>33</v>
      </c>
      <c r="P24" s="29" t="s">
        <v>33</v>
      </c>
      <c r="Q24" s="29" t="s">
        <v>33</v>
      </c>
      <c r="R24" s="29" t="s">
        <v>33</v>
      </c>
      <c r="S24" s="29" t="s">
        <v>33</v>
      </c>
      <c r="T24" s="29" t="s">
        <v>33</v>
      </c>
      <c r="U24" s="29" t="s">
        <v>33</v>
      </c>
      <c r="V24" s="29" t="s">
        <v>33</v>
      </c>
      <c r="W24" s="29" t="s">
        <v>33</v>
      </c>
    </row>
    <row r="25" spans="1:23" s="25" customFormat="1" ht="31.5" x14ac:dyDescent="0.25">
      <c r="A25" s="23" t="s">
        <v>68</v>
      </c>
      <c r="B25" s="24" t="s">
        <v>69</v>
      </c>
      <c r="C25" s="28" t="s">
        <v>33</v>
      </c>
      <c r="D25" s="28" t="str">
        <f>D26</f>
        <v>нд</v>
      </c>
      <c r="E25" s="28" t="str">
        <f t="shared" ref="E25:W26" si="3">E26</f>
        <v>нд</v>
      </c>
      <c r="F25" s="28" t="str">
        <f t="shared" si="3"/>
        <v>нд</v>
      </c>
      <c r="G25" s="28" t="str">
        <f t="shared" si="3"/>
        <v>нд</v>
      </c>
      <c r="H25" s="28" t="str">
        <f t="shared" si="3"/>
        <v>нд</v>
      </c>
      <c r="I25" s="28" t="str">
        <f t="shared" si="3"/>
        <v>нд</v>
      </c>
      <c r="J25" s="28" t="str">
        <f t="shared" si="3"/>
        <v>нд</v>
      </c>
      <c r="K25" s="28" t="str">
        <f t="shared" si="3"/>
        <v>нд</v>
      </c>
      <c r="L25" s="28" t="str">
        <f t="shared" si="3"/>
        <v>нд</v>
      </c>
      <c r="M25" s="28" t="str">
        <f t="shared" si="3"/>
        <v>нд</v>
      </c>
      <c r="N25" s="28" t="str">
        <f t="shared" si="3"/>
        <v>нд</v>
      </c>
      <c r="O25" s="28" t="s">
        <v>33</v>
      </c>
      <c r="P25" s="349">
        <f>P26</f>
        <v>347</v>
      </c>
      <c r="Q25" s="349">
        <f>Q26</f>
        <v>347</v>
      </c>
      <c r="R25" s="28" t="s">
        <v>33</v>
      </c>
      <c r="S25" s="28" t="s">
        <v>33</v>
      </c>
      <c r="T25" s="28" t="str">
        <f t="shared" si="3"/>
        <v>нд</v>
      </c>
      <c r="U25" s="28" t="str">
        <f t="shared" si="3"/>
        <v>нд</v>
      </c>
      <c r="V25" s="28" t="str">
        <f t="shared" si="3"/>
        <v>нд</v>
      </c>
      <c r="W25" s="28" t="str">
        <f t="shared" si="3"/>
        <v>нд</v>
      </c>
    </row>
    <row r="26" spans="1:23" ht="21" customHeight="1" outlineLevel="1" x14ac:dyDescent="0.25">
      <c r="A26" s="13" t="s">
        <v>70</v>
      </c>
      <c r="B26" s="15" t="s">
        <v>71</v>
      </c>
      <c r="C26" s="29" t="s">
        <v>33</v>
      </c>
      <c r="D26" s="29" t="str">
        <f>D27</f>
        <v>нд</v>
      </c>
      <c r="E26" s="29" t="str">
        <f t="shared" si="3"/>
        <v>нд</v>
      </c>
      <c r="F26" s="29" t="str">
        <f t="shared" si="3"/>
        <v>нд</v>
      </c>
      <c r="G26" s="29" t="str">
        <f t="shared" si="3"/>
        <v>нд</v>
      </c>
      <c r="H26" s="29" t="str">
        <f t="shared" si="3"/>
        <v>нд</v>
      </c>
      <c r="I26" s="29" t="str">
        <f t="shared" si="3"/>
        <v>нд</v>
      </c>
      <c r="J26" s="29" t="str">
        <f t="shared" si="3"/>
        <v>нд</v>
      </c>
      <c r="K26" s="29" t="str">
        <f t="shared" si="3"/>
        <v>нд</v>
      </c>
      <c r="L26" s="29" t="str">
        <f t="shared" si="3"/>
        <v>нд</v>
      </c>
      <c r="M26" s="29" t="str">
        <f t="shared" si="3"/>
        <v>нд</v>
      </c>
      <c r="N26" s="29" t="str">
        <f t="shared" si="3"/>
        <v>нд</v>
      </c>
      <c r="O26" s="29" t="s">
        <v>33</v>
      </c>
      <c r="P26" s="351">
        <f>P27</f>
        <v>347</v>
      </c>
      <c r="Q26" s="351">
        <f>Q27</f>
        <v>347</v>
      </c>
      <c r="R26" s="29" t="s">
        <v>33</v>
      </c>
      <c r="S26" s="29" t="s">
        <v>33</v>
      </c>
      <c r="T26" s="29" t="str">
        <f t="shared" si="3"/>
        <v>нд</v>
      </c>
      <c r="U26" s="29" t="str">
        <f t="shared" si="3"/>
        <v>нд</v>
      </c>
      <c r="V26" s="29" t="str">
        <f t="shared" si="3"/>
        <v>нд</v>
      </c>
      <c r="W26" s="29" t="str">
        <f t="shared" si="3"/>
        <v>нд</v>
      </c>
    </row>
    <row r="27" spans="1:23" outlineLevel="1" x14ac:dyDescent="0.25">
      <c r="A27" s="200" t="s">
        <v>616</v>
      </c>
      <c r="B27" s="210" t="s">
        <v>621</v>
      </c>
      <c r="C27" s="201" t="s">
        <v>641</v>
      </c>
      <c r="D27" s="221" t="s">
        <v>33</v>
      </c>
      <c r="E27" s="221" t="s">
        <v>33</v>
      </c>
      <c r="F27" s="221" t="s">
        <v>33</v>
      </c>
      <c r="G27" s="221" t="s">
        <v>33</v>
      </c>
      <c r="H27" s="221" t="s">
        <v>33</v>
      </c>
      <c r="I27" s="221" t="s">
        <v>33</v>
      </c>
      <c r="J27" s="221" t="s">
        <v>33</v>
      </c>
      <c r="K27" s="221" t="s">
        <v>33</v>
      </c>
      <c r="L27" s="221" t="s">
        <v>33</v>
      </c>
      <c r="M27" s="221" t="s">
        <v>33</v>
      </c>
      <c r="N27" s="221" t="s">
        <v>33</v>
      </c>
      <c r="O27" s="221" t="s">
        <v>33</v>
      </c>
      <c r="P27" s="353">
        <v>347</v>
      </c>
      <c r="Q27" s="353">
        <v>347</v>
      </c>
      <c r="R27" s="221" t="s">
        <v>33</v>
      </c>
      <c r="S27" s="221" t="s">
        <v>33</v>
      </c>
      <c r="T27" s="221" t="s">
        <v>33</v>
      </c>
      <c r="U27" s="221" t="s">
        <v>33</v>
      </c>
      <c r="V27" s="221" t="s">
        <v>33</v>
      </c>
      <c r="W27" s="221" t="s">
        <v>33</v>
      </c>
    </row>
    <row r="31" spans="1:23" s="1" customFormat="1" x14ac:dyDescent="0.25">
      <c r="B31" s="117" t="s">
        <v>52</v>
      </c>
      <c r="C31" s="12"/>
      <c r="D31" s="12"/>
      <c r="E31" s="12" t="s">
        <v>1325</v>
      </c>
      <c r="P31" s="344"/>
      <c r="Q31" s="344"/>
      <c r="R31" s="344"/>
      <c r="S31" s="344"/>
    </row>
  </sheetData>
  <mergeCells count="26">
    <mergeCell ref="T14:U14"/>
    <mergeCell ref="V14:W14"/>
    <mergeCell ref="P13:S13"/>
    <mergeCell ref="P14:Q14"/>
    <mergeCell ref="R14:S14"/>
    <mergeCell ref="A4:W4"/>
    <mergeCell ref="A7:W7"/>
    <mergeCell ref="A1:W1"/>
    <mergeCell ref="A2:W2"/>
    <mergeCell ref="A5:W5"/>
    <mergeCell ref="A9:T9"/>
    <mergeCell ref="A10:W10"/>
    <mergeCell ref="A11:W11"/>
    <mergeCell ref="A12:A15"/>
    <mergeCell ref="B12:B15"/>
    <mergeCell ref="C12:C15"/>
    <mergeCell ref="D12:W12"/>
    <mergeCell ref="D13:I13"/>
    <mergeCell ref="J13:O13"/>
    <mergeCell ref="T13:W13"/>
    <mergeCell ref="D14:E14"/>
    <mergeCell ref="F14:G14"/>
    <mergeCell ref="H14:I14"/>
    <mergeCell ref="J14:K14"/>
    <mergeCell ref="L14:M14"/>
    <mergeCell ref="N14:O14"/>
  </mergeCells>
  <pageMargins left="0.31496062992125984" right="0.31496062992125984" top="0.35433070866141736" bottom="0.35433070866141736" header="0.11811023622047245" footer="0.11811023622047245"/>
  <pageSetup paperSize="8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N54"/>
  <sheetViews>
    <sheetView topLeftCell="A13" zoomScale="75" zoomScaleNormal="75" workbookViewId="0">
      <selection activeCell="AM32" sqref="AM32:AM33"/>
    </sheetView>
  </sheetViews>
  <sheetFormatPr defaultColWidth="8.85546875" defaultRowHeight="15.75" outlineLevelRow="1" x14ac:dyDescent="0.25"/>
  <cols>
    <col min="1" max="1" width="10" style="14" customWidth="1"/>
    <col min="2" max="2" width="75.42578125" customWidth="1"/>
    <col min="3" max="3" width="10.7109375" customWidth="1"/>
    <col min="4" max="4" width="9.140625" customWidth="1"/>
    <col min="5" max="5" width="5.85546875" style="33" customWidth="1"/>
    <col min="6" max="6" width="5.5703125" style="33" customWidth="1"/>
    <col min="7" max="9" width="5.5703125" customWidth="1"/>
    <col min="10" max="10" width="5.5703125" style="35" customWidth="1"/>
    <col min="11" max="11" width="9.140625" customWidth="1"/>
    <col min="12" max="12" width="6.7109375" customWidth="1"/>
    <col min="13" max="13" width="5.5703125" style="35" customWidth="1"/>
    <col min="14" max="17" width="5.5703125" customWidth="1"/>
    <col min="18" max="18" width="8.85546875" customWidth="1"/>
    <col min="19" max="19" width="6.28515625" customWidth="1"/>
    <col min="20" max="24" width="5.5703125" customWidth="1"/>
    <col min="25" max="25" width="9.28515625" customWidth="1"/>
    <col min="26" max="26" width="9.42578125" customWidth="1"/>
    <col min="27" max="27" width="6.7109375" bestFit="1" customWidth="1"/>
    <col min="28" max="28" width="5.42578125" customWidth="1"/>
    <col min="29" max="29" width="9.28515625" customWidth="1"/>
    <col min="30" max="30" width="5.5703125" customWidth="1"/>
    <col min="31" max="31" width="6.7109375" customWidth="1"/>
    <col min="32" max="32" width="6.5703125" customWidth="1"/>
    <col min="33" max="33" width="9.28515625" customWidth="1"/>
    <col min="34" max="34" width="9.42578125" customWidth="1"/>
    <col min="35" max="35" width="6.7109375" bestFit="1" customWidth="1"/>
    <col min="36" max="36" width="5.42578125" customWidth="1"/>
    <col min="37" max="37" width="8.28515625" customWidth="1"/>
    <col min="38" max="38" width="5.42578125" customWidth="1"/>
    <col min="39" max="39" width="6.7109375" customWidth="1"/>
    <col min="40" max="40" width="5.85546875" customWidth="1"/>
  </cols>
  <sheetData>
    <row r="1" spans="1:40" s="30" customFormat="1" ht="18.75" x14ac:dyDescent="0.3">
      <c r="A1" s="653" t="s">
        <v>260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653"/>
      <c r="AK1" s="653"/>
      <c r="AL1" s="653"/>
      <c r="AM1" s="653"/>
      <c r="AN1" s="653"/>
    </row>
    <row r="2" spans="1:40" s="30" customFormat="1" ht="18.75" x14ac:dyDescent="0.3">
      <c r="A2" s="604" t="s">
        <v>677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  <c r="AF2" s="604"/>
      <c r="AG2" s="604"/>
      <c r="AH2" s="604"/>
      <c r="AI2" s="604"/>
      <c r="AJ2" s="604"/>
      <c r="AK2" s="604"/>
      <c r="AL2" s="604"/>
      <c r="AM2" s="604"/>
      <c r="AN2" s="604"/>
    </row>
    <row r="3" spans="1:40" s="30" customForma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</row>
    <row r="4" spans="1:40" s="30" customFormat="1" ht="18.75" x14ac:dyDescent="0.25">
      <c r="A4" s="599" t="s">
        <v>75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</row>
    <row r="5" spans="1:40" s="30" customFormat="1" x14ac:dyDescent="0.25">
      <c r="A5" s="605" t="s">
        <v>76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</row>
    <row r="6" spans="1:40" s="30" customFormat="1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</row>
    <row r="7" spans="1:40" s="30" customFormat="1" x14ac:dyDescent="0.25">
      <c r="A7" s="600" t="s">
        <v>1370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</row>
    <row r="8" spans="1:40" s="30" customFormat="1" ht="18.75" x14ac:dyDescent="0.3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</row>
    <row r="9" spans="1:40" s="30" customFormat="1" ht="18.75" x14ac:dyDescent="0.25">
      <c r="A9" s="108"/>
      <c r="B9" s="108"/>
      <c r="C9" s="108"/>
      <c r="D9" s="515" t="s">
        <v>1346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</row>
    <row r="10" spans="1:40" s="30" customFormat="1" x14ac:dyDescent="0.25">
      <c r="A10" s="648" t="s">
        <v>174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</row>
    <row r="11" spans="1:40" s="30" customFormat="1" x14ac:dyDescent="0.25">
      <c r="A11" s="652"/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</row>
    <row r="12" spans="1:40" s="30" customFormat="1" x14ac:dyDescent="0.25">
      <c r="A12" s="651" t="s">
        <v>3</v>
      </c>
      <c r="B12" s="651" t="s">
        <v>4</v>
      </c>
      <c r="C12" s="651" t="s">
        <v>5</v>
      </c>
      <c r="D12" s="650" t="s">
        <v>261</v>
      </c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</row>
    <row r="13" spans="1:40" s="30" customFormat="1" x14ac:dyDescent="0.25">
      <c r="A13" s="651"/>
      <c r="B13" s="651"/>
      <c r="C13" s="651"/>
      <c r="D13" s="650" t="s">
        <v>262</v>
      </c>
      <c r="E13" s="650"/>
      <c r="F13" s="650"/>
      <c r="G13" s="650"/>
      <c r="H13" s="650"/>
      <c r="I13" s="650"/>
      <c r="J13" s="650"/>
      <c r="K13" s="650" t="s">
        <v>263</v>
      </c>
      <c r="L13" s="650"/>
      <c r="M13" s="650"/>
      <c r="N13" s="650"/>
      <c r="O13" s="650"/>
      <c r="P13" s="650"/>
      <c r="Q13" s="650"/>
      <c r="R13" s="650" t="s">
        <v>264</v>
      </c>
      <c r="S13" s="650"/>
      <c r="T13" s="650"/>
      <c r="U13" s="650"/>
      <c r="V13" s="650"/>
      <c r="W13" s="650"/>
      <c r="X13" s="650"/>
      <c r="Y13" s="650" t="s">
        <v>265</v>
      </c>
      <c r="Z13" s="650"/>
      <c r="AA13" s="650"/>
      <c r="AB13" s="650"/>
      <c r="AC13" s="650"/>
      <c r="AD13" s="650"/>
      <c r="AE13" s="650"/>
      <c r="AF13" s="650"/>
      <c r="AG13" s="651" t="s">
        <v>266</v>
      </c>
      <c r="AH13" s="651"/>
      <c r="AI13" s="651"/>
      <c r="AJ13" s="651"/>
      <c r="AK13" s="651"/>
      <c r="AL13" s="651"/>
      <c r="AM13" s="651"/>
      <c r="AN13" s="651"/>
    </row>
    <row r="14" spans="1:40" s="30" customFormat="1" ht="48.75" customHeight="1" x14ac:dyDescent="0.25">
      <c r="A14" s="651"/>
      <c r="B14" s="651"/>
      <c r="C14" s="651"/>
      <c r="D14" s="218" t="s">
        <v>181</v>
      </c>
      <c r="E14" s="650" t="s">
        <v>182</v>
      </c>
      <c r="F14" s="650"/>
      <c r="G14" s="650"/>
      <c r="H14" s="650"/>
      <c r="I14" s="650"/>
      <c r="J14" s="650"/>
      <c r="K14" s="218" t="s">
        <v>181</v>
      </c>
      <c r="L14" s="651" t="s">
        <v>182</v>
      </c>
      <c r="M14" s="651"/>
      <c r="N14" s="651"/>
      <c r="O14" s="651"/>
      <c r="P14" s="651"/>
      <c r="Q14" s="651"/>
      <c r="R14" s="218" t="s">
        <v>181</v>
      </c>
      <c r="S14" s="651" t="s">
        <v>182</v>
      </c>
      <c r="T14" s="651"/>
      <c r="U14" s="651"/>
      <c r="V14" s="651"/>
      <c r="W14" s="651"/>
      <c r="X14" s="651"/>
      <c r="Y14" s="218" t="s">
        <v>181</v>
      </c>
      <c r="Z14" s="651" t="s">
        <v>182</v>
      </c>
      <c r="AA14" s="651"/>
      <c r="AB14" s="651"/>
      <c r="AC14" s="651"/>
      <c r="AD14" s="651"/>
      <c r="AE14" s="651"/>
      <c r="AF14" s="651"/>
      <c r="AG14" s="218" t="s">
        <v>181</v>
      </c>
      <c r="AH14" s="651" t="s">
        <v>182</v>
      </c>
      <c r="AI14" s="651"/>
      <c r="AJ14" s="651"/>
      <c r="AK14" s="651"/>
      <c r="AL14" s="651"/>
      <c r="AM14" s="651"/>
      <c r="AN14" s="651"/>
    </row>
    <row r="15" spans="1:40" s="30" customFormat="1" ht="120" x14ac:dyDescent="0.25">
      <c r="A15" s="651"/>
      <c r="B15" s="651"/>
      <c r="C15" s="651"/>
      <c r="D15" s="215" t="s">
        <v>183</v>
      </c>
      <c r="E15" s="215" t="s">
        <v>183</v>
      </c>
      <c r="F15" s="216" t="s">
        <v>184</v>
      </c>
      <c r="G15" s="216" t="s">
        <v>185</v>
      </c>
      <c r="H15" s="216" t="s">
        <v>186</v>
      </c>
      <c r="I15" s="216" t="s">
        <v>187</v>
      </c>
      <c r="J15" s="216" t="s">
        <v>188</v>
      </c>
      <c r="K15" s="215" t="s">
        <v>183</v>
      </c>
      <c r="L15" s="215" t="s">
        <v>183</v>
      </c>
      <c r="M15" s="216" t="s">
        <v>184</v>
      </c>
      <c r="N15" s="216" t="s">
        <v>185</v>
      </c>
      <c r="O15" s="216" t="s">
        <v>186</v>
      </c>
      <c r="P15" s="216" t="s">
        <v>187</v>
      </c>
      <c r="Q15" s="216" t="s">
        <v>188</v>
      </c>
      <c r="R15" s="215" t="s">
        <v>183</v>
      </c>
      <c r="S15" s="215" t="s">
        <v>183</v>
      </c>
      <c r="T15" s="216" t="s">
        <v>184</v>
      </c>
      <c r="U15" s="216" t="s">
        <v>185</v>
      </c>
      <c r="V15" s="216" t="s">
        <v>186</v>
      </c>
      <c r="W15" s="216" t="s">
        <v>187</v>
      </c>
      <c r="X15" s="216" t="s">
        <v>188</v>
      </c>
      <c r="Y15" s="215" t="s">
        <v>183</v>
      </c>
      <c r="Z15" s="215" t="s">
        <v>183</v>
      </c>
      <c r="AA15" s="216" t="s">
        <v>184</v>
      </c>
      <c r="AB15" s="216" t="s">
        <v>185</v>
      </c>
      <c r="AC15" s="216" t="s">
        <v>186</v>
      </c>
      <c r="AD15" s="216" t="s">
        <v>187</v>
      </c>
      <c r="AE15" s="216" t="s">
        <v>506</v>
      </c>
      <c r="AF15" s="216" t="s">
        <v>507</v>
      </c>
      <c r="AG15" s="215" t="s">
        <v>183</v>
      </c>
      <c r="AH15" s="215" t="s">
        <v>183</v>
      </c>
      <c r="AI15" s="216" t="s">
        <v>184</v>
      </c>
      <c r="AJ15" s="216" t="s">
        <v>185</v>
      </c>
      <c r="AK15" s="216" t="s">
        <v>186</v>
      </c>
      <c r="AL15" s="216" t="s">
        <v>187</v>
      </c>
      <c r="AM15" s="216" t="s">
        <v>506</v>
      </c>
      <c r="AN15" s="216" t="s">
        <v>507</v>
      </c>
    </row>
    <row r="16" spans="1:40" s="30" customFormat="1" x14ac:dyDescent="0.25">
      <c r="A16" s="217">
        <v>1</v>
      </c>
      <c r="B16" s="217">
        <v>2</v>
      </c>
      <c r="C16" s="217">
        <v>3</v>
      </c>
      <c r="D16" s="116" t="s">
        <v>267</v>
      </c>
      <c r="E16" s="116" t="s">
        <v>268</v>
      </c>
      <c r="F16" s="116" t="s">
        <v>269</v>
      </c>
      <c r="G16" s="116" t="s">
        <v>270</v>
      </c>
      <c r="H16" s="116" t="s">
        <v>271</v>
      </c>
      <c r="I16" s="116" t="s">
        <v>272</v>
      </c>
      <c r="J16" s="116" t="s">
        <v>273</v>
      </c>
      <c r="K16" s="116" t="s">
        <v>274</v>
      </c>
      <c r="L16" s="116" t="s">
        <v>275</v>
      </c>
      <c r="M16" s="116" t="s">
        <v>276</v>
      </c>
      <c r="N16" s="116" t="s">
        <v>277</v>
      </c>
      <c r="O16" s="116" t="s">
        <v>278</v>
      </c>
      <c r="P16" s="116" t="s">
        <v>279</v>
      </c>
      <c r="Q16" s="116" t="s">
        <v>280</v>
      </c>
      <c r="R16" s="116" t="s">
        <v>281</v>
      </c>
      <c r="S16" s="116" t="s">
        <v>282</v>
      </c>
      <c r="T16" s="116" t="s">
        <v>283</v>
      </c>
      <c r="U16" s="116" t="s">
        <v>284</v>
      </c>
      <c r="V16" s="116" t="s">
        <v>285</v>
      </c>
      <c r="W16" s="116" t="s">
        <v>286</v>
      </c>
      <c r="X16" s="116" t="s">
        <v>287</v>
      </c>
      <c r="Y16" s="116" t="s">
        <v>288</v>
      </c>
      <c r="Z16" s="116" t="s">
        <v>289</v>
      </c>
      <c r="AA16" s="116" t="s">
        <v>290</v>
      </c>
      <c r="AB16" s="116" t="s">
        <v>291</v>
      </c>
      <c r="AC16" s="116" t="s">
        <v>292</v>
      </c>
      <c r="AD16" s="116" t="s">
        <v>293</v>
      </c>
      <c r="AE16" s="116"/>
      <c r="AF16" s="116" t="s">
        <v>294</v>
      </c>
      <c r="AG16" s="116" t="s">
        <v>295</v>
      </c>
      <c r="AH16" s="116" t="s">
        <v>296</v>
      </c>
      <c r="AI16" s="116" t="s">
        <v>297</v>
      </c>
      <c r="AJ16" s="116" t="s">
        <v>298</v>
      </c>
      <c r="AK16" s="116" t="s">
        <v>259</v>
      </c>
      <c r="AL16" s="116" t="s">
        <v>299</v>
      </c>
      <c r="AM16" s="116"/>
      <c r="AN16" s="116" t="s">
        <v>300</v>
      </c>
    </row>
    <row r="17" spans="1:40" s="120" customFormat="1" x14ac:dyDescent="0.25">
      <c r="A17" s="118" t="s">
        <v>31</v>
      </c>
      <c r="B17" s="38" t="s">
        <v>32</v>
      </c>
      <c r="C17" s="119" t="str">
        <f>C18</f>
        <v>нд</v>
      </c>
      <c r="D17" s="119" t="str">
        <f t="shared" ref="D17:Y17" si="0">D18</f>
        <v>нд</v>
      </c>
      <c r="E17" s="119" t="str">
        <f t="shared" si="0"/>
        <v>нд</v>
      </c>
      <c r="F17" s="119" t="str">
        <f t="shared" si="0"/>
        <v>нд</v>
      </c>
      <c r="G17" s="119" t="str">
        <f t="shared" si="0"/>
        <v>нд</v>
      </c>
      <c r="H17" s="119" t="str">
        <f t="shared" si="0"/>
        <v>нд</v>
      </c>
      <c r="I17" s="119" t="str">
        <f t="shared" si="0"/>
        <v>нд</v>
      </c>
      <c r="J17" s="119" t="str">
        <f t="shared" si="0"/>
        <v>нд</v>
      </c>
      <c r="K17" s="119" t="str">
        <f t="shared" si="0"/>
        <v>нд</v>
      </c>
      <c r="L17" s="119" t="str">
        <f t="shared" si="0"/>
        <v>нд</v>
      </c>
      <c r="M17" s="119" t="str">
        <f t="shared" si="0"/>
        <v>нд</v>
      </c>
      <c r="N17" s="119" t="str">
        <f t="shared" si="0"/>
        <v>нд</v>
      </c>
      <c r="O17" s="119" t="str">
        <f t="shared" si="0"/>
        <v>нд</v>
      </c>
      <c r="P17" s="119" t="str">
        <f t="shared" si="0"/>
        <v>нд</v>
      </c>
      <c r="Q17" s="119" t="str">
        <f t="shared" si="0"/>
        <v>нд</v>
      </c>
      <c r="R17" s="119" t="str">
        <f t="shared" si="0"/>
        <v>нд</v>
      </c>
      <c r="S17" s="119" t="str">
        <f t="shared" si="0"/>
        <v>нд</v>
      </c>
      <c r="T17" s="119" t="str">
        <f t="shared" si="0"/>
        <v>нд</v>
      </c>
      <c r="U17" s="119" t="str">
        <f t="shared" si="0"/>
        <v>нд</v>
      </c>
      <c r="V17" s="119" t="str">
        <f t="shared" si="0"/>
        <v>нд</v>
      </c>
      <c r="W17" s="119" t="str">
        <f t="shared" si="0"/>
        <v>нд</v>
      </c>
      <c r="X17" s="119" t="str">
        <f t="shared" si="0"/>
        <v>нд</v>
      </c>
      <c r="Y17" s="119" t="str">
        <f t="shared" si="0"/>
        <v>нд</v>
      </c>
      <c r="Z17" s="119">
        <f t="shared" ref="Z17:AN17" si="1">Z18</f>
        <v>20.868793240960002</v>
      </c>
      <c r="AA17" s="119" t="str">
        <f t="shared" si="1"/>
        <v>нд</v>
      </c>
      <c r="AB17" s="119" t="str">
        <f t="shared" si="1"/>
        <v>нд</v>
      </c>
      <c r="AC17" s="119">
        <f t="shared" si="1"/>
        <v>3.24715</v>
      </c>
      <c r="AD17" s="119" t="str">
        <f t="shared" si="1"/>
        <v>нд</v>
      </c>
      <c r="AE17" s="227">
        <f t="shared" si="1"/>
        <v>1</v>
      </c>
      <c r="AF17" s="227">
        <f t="shared" si="1"/>
        <v>2</v>
      </c>
      <c r="AG17" s="119" t="str">
        <f t="shared" si="1"/>
        <v>нд</v>
      </c>
      <c r="AH17" s="119">
        <f t="shared" si="1"/>
        <v>20.868793240960002</v>
      </c>
      <c r="AI17" s="119" t="str">
        <f t="shared" si="1"/>
        <v>нд</v>
      </c>
      <c r="AJ17" s="119" t="str">
        <f t="shared" si="1"/>
        <v>нд</v>
      </c>
      <c r="AK17" s="119">
        <f t="shared" si="1"/>
        <v>3.24715</v>
      </c>
      <c r="AL17" s="119" t="str">
        <f t="shared" si="1"/>
        <v>нд</v>
      </c>
      <c r="AM17" s="182">
        <f t="shared" si="1"/>
        <v>1</v>
      </c>
      <c r="AN17" s="182">
        <f t="shared" si="1"/>
        <v>2</v>
      </c>
    </row>
    <row r="18" spans="1:40" s="123" customFormat="1" x14ac:dyDescent="0.25">
      <c r="A18" s="121" t="s">
        <v>55</v>
      </c>
      <c r="B18" s="9" t="s">
        <v>34</v>
      </c>
      <c r="C18" s="122" t="s">
        <v>33</v>
      </c>
      <c r="D18" s="122" t="s">
        <v>33</v>
      </c>
      <c r="E18" s="122" t="s">
        <v>33</v>
      </c>
      <c r="F18" s="122" t="s">
        <v>33</v>
      </c>
      <c r="G18" s="122" t="s">
        <v>33</v>
      </c>
      <c r="H18" s="122" t="s">
        <v>33</v>
      </c>
      <c r="I18" s="122" t="s">
        <v>33</v>
      </c>
      <c r="J18" s="122" t="s">
        <v>33</v>
      </c>
      <c r="K18" s="122" t="s">
        <v>33</v>
      </c>
      <c r="L18" s="122" t="s">
        <v>33</v>
      </c>
      <c r="M18" s="122" t="s">
        <v>33</v>
      </c>
      <c r="N18" s="122" t="s">
        <v>33</v>
      </c>
      <c r="O18" s="122" t="s">
        <v>33</v>
      </c>
      <c r="P18" s="122" t="s">
        <v>33</v>
      </c>
      <c r="Q18" s="122" t="s">
        <v>33</v>
      </c>
      <c r="R18" s="122" t="s">
        <v>33</v>
      </c>
      <c r="S18" s="122" t="s">
        <v>33</v>
      </c>
      <c r="T18" s="122" t="s">
        <v>33</v>
      </c>
      <c r="U18" s="122" t="s">
        <v>33</v>
      </c>
      <c r="V18" s="122" t="s">
        <v>33</v>
      </c>
      <c r="W18" s="122" t="s">
        <v>33</v>
      </c>
      <c r="X18" s="122" t="s">
        <v>33</v>
      </c>
      <c r="Y18" s="122" t="s">
        <v>33</v>
      </c>
      <c r="Z18" s="122">
        <f>Z19+Z40</f>
        <v>20.868793240960002</v>
      </c>
      <c r="AA18" s="122" t="s">
        <v>33</v>
      </c>
      <c r="AB18" s="122" t="s">
        <v>33</v>
      </c>
      <c r="AC18" s="122">
        <f>AC19</f>
        <v>3.24715</v>
      </c>
      <c r="AD18" s="122" t="str">
        <f t="shared" ref="AD18:AE18" si="2">AD19</f>
        <v>нд</v>
      </c>
      <c r="AE18" s="319">
        <f t="shared" si="2"/>
        <v>1</v>
      </c>
      <c r="AF18" s="183">
        <f>AF40</f>
        <v>2</v>
      </c>
      <c r="AG18" s="122" t="s">
        <v>33</v>
      </c>
      <c r="AH18" s="122">
        <f>AH19+AH40</f>
        <v>20.868793240960002</v>
      </c>
      <c r="AI18" s="122" t="s">
        <v>33</v>
      </c>
      <c r="AJ18" s="122" t="s">
        <v>33</v>
      </c>
      <c r="AK18" s="122">
        <f>AK19</f>
        <v>3.24715</v>
      </c>
      <c r="AL18" s="122" t="str">
        <f t="shared" ref="AL18:AM18" si="3">AL19</f>
        <v>нд</v>
      </c>
      <c r="AM18" s="319">
        <f t="shared" si="3"/>
        <v>1</v>
      </c>
      <c r="AN18" s="319">
        <f>AN40</f>
        <v>2</v>
      </c>
    </row>
    <row r="19" spans="1:40" s="120" customFormat="1" ht="31.5" x14ac:dyDescent="0.25">
      <c r="A19" s="118" t="s">
        <v>36</v>
      </c>
      <c r="B19" s="38" t="s">
        <v>37</v>
      </c>
      <c r="C19" s="119" t="s">
        <v>33</v>
      </c>
      <c r="D19" s="119" t="s">
        <v>33</v>
      </c>
      <c r="E19" s="119" t="s">
        <v>33</v>
      </c>
      <c r="F19" s="119" t="s">
        <v>33</v>
      </c>
      <c r="G19" s="119" t="s">
        <v>33</v>
      </c>
      <c r="H19" s="119" t="s">
        <v>33</v>
      </c>
      <c r="I19" s="119" t="s">
        <v>33</v>
      </c>
      <c r="J19" s="119" t="s">
        <v>33</v>
      </c>
      <c r="K19" s="119" t="s">
        <v>33</v>
      </c>
      <c r="L19" s="119" t="s">
        <v>33</v>
      </c>
      <c r="M19" s="119" t="s">
        <v>33</v>
      </c>
      <c r="N19" s="119" t="s">
        <v>33</v>
      </c>
      <c r="O19" s="119" t="s">
        <v>33</v>
      </c>
      <c r="P19" s="119" t="s">
        <v>33</v>
      </c>
      <c r="Q19" s="119" t="s">
        <v>33</v>
      </c>
      <c r="R19" s="119" t="s">
        <v>33</v>
      </c>
      <c r="S19" s="119" t="s">
        <v>33</v>
      </c>
      <c r="T19" s="119" t="s">
        <v>33</v>
      </c>
      <c r="U19" s="119" t="s">
        <v>33</v>
      </c>
      <c r="V19" s="119" t="s">
        <v>33</v>
      </c>
      <c r="W19" s="119" t="s">
        <v>33</v>
      </c>
      <c r="X19" s="119" t="s">
        <v>33</v>
      </c>
      <c r="Y19" s="119" t="s">
        <v>33</v>
      </c>
      <c r="Z19" s="119">
        <f>Z25+Z32</f>
        <v>11.594854440960001</v>
      </c>
      <c r="AA19" s="119" t="s">
        <v>33</v>
      </c>
      <c r="AB19" s="119" t="s">
        <v>33</v>
      </c>
      <c r="AC19" s="119">
        <f>AC25</f>
        <v>3.24715</v>
      </c>
      <c r="AD19" s="119" t="s">
        <v>33</v>
      </c>
      <c r="AE19" s="227">
        <f>AE32</f>
        <v>1</v>
      </c>
      <c r="AF19" s="227" t="s">
        <v>33</v>
      </c>
      <c r="AG19" s="119" t="s">
        <v>33</v>
      </c>
      <c r="AH19" s="119">
        <f>AH25+AH32</f>
        <v>11.594854440960001</v>
      </c>
      <c r="AI19" s="119" t="s">
        <v>33</v>
      </c>
      <c r="AJ19" s="119" t="s">
        <v>33</v>
      </c>
      <c r="AK19" s="119">
        <f>AK25</f>
        <v>3.24715</v>
      </c>
      <c r="AL19" s="119" t="s">
        <v>33</v>
      </c>
      <c r="AM19" s="182">
        <f>AM32</f>
        <v>1</v>
      </c>
      <c r="AN19" s="182" t="s">
        <v>33</v>
      </c>
    </row>
    <row r="20" spans="1:40" s="126" customFormat="1" ht="47.25" x14ac:dyDescent="0.25">
      <c r="A20" s="124" t="s">
        <v>53</v>
      </c>
      <c r="B20" s="39" t="s">
        <v>54</v>
      </c>
      <c r="C20" s="125" t="str">
        <f>C21</f>
        <v>нд</v>
      </c>
      <c r="D20" s="125" t="str">
        <f>D21</f>
        <v>нд</v>
      </c>
      <c r="E20" s="125" t="str">
        <f t="shared" ref="E20:Y20" si="4">E21</f>
        <v>нд</v>
      </c>
      <c r="F20" s="125" t="str">
        <f t="shared" si="4"/>
        <v>нд</v>
      </c>
      <c r="G20" s="125" t="str">
        <f t="shared" si="4"/>
        <v>нд</v>
      </c>
      <c r="H20" s="125" t="str">
        <f t="shared" si="4"/>
        <v>нд</v>
      </c>
      <c r="I20" s="125" t="str">
        <f t="shared" si="4"/>
        <v>нд</v>
      </c>
      <c r="J20" s="125" t="str">
        <f t="shared" si="4"/>
        <v>нд</v>
      </c>
      <c r="K20" s="125" t="str">
        <f t="shared" si="4"/>
        <v>нд</v>
      </c>
      <c r="L20" s="125" t="str">
        <f t="shared" si="4"/>
        <v>нд</v>
      </c>
      <c r="M20" s="125" t="str">
        <f t="shared" si="4"/>
        <v>нд</v>
      </c>
      <c r="N20" s="125" t="str">
        <f t="shared" si="4"/>
        <v>нд</v>
      </c>
      <c r="O20" s="125" t="str">
        <f t="shared" si="4"/>
        <v>нд</v>
      </c>
      <c r="P20" s="125" t="str">
        <f t="shared" si="4"/>
        <v>нд</v>
      </c>
      <c r="Q20" s="125" t="str">
        <f t="shared" si="4"/>
        <v>нд</v>
      </c>
      <c r="R20" s="125" t="str">
        <f t="shared" si="4"/>
        <v>нд</v>
      </c>
      <c r="S20" s="125" t="str">
        <f t="shared" si="4"/>
        <v>нд</v>
      </c>
      <c r="T20" s="125" t="str">
        <f t="shared" si="4"/>
        <v>нд</v>
      </c>
      <c r="U20" s="125" t="str">
        <f t="shared" si="4"/>
        <v>нд</v>
      </c>
      <c r="V20" s="125" t="str">
        <f t="shared" si="4"/>
        <v>нд</v>
      </c>
      <c r="W20" s="125" t="str">
        <f t="shared" si="4"/>
        <v>нд</v>
      </c>
      <c r="X20" s="125" t="str">
        <f t="shared" si="4"/>
        <v>нд</v>
      </c>
      <c r="Y20" s="125" t="str">
        <f t="shared" si="4"/>
        <v>нд</v>
      </c>
      <c r="Z20" s="125" t="str">
        <f t="shared" ref="Z20" si="5">Z21</f>
        <v>нд</v>
      </c>
      <c r="AA20" s="125" t="str">
        <f t="shared" ref="AA20" si="6">AA21</f>
        <v>нд</v>
      </c>
      <c r="AB20" s="125" t="str">
        <f t="shared" ref="AB20" si="7">AB21</f>
        <v>нд</v>
      </c>
      <c r="AC20" s="125" t="str">
        <f t="shared" ref="AC20" si="8">AC21</f>
        <v>нд</v>
      </c>
      <c r="AD20" s="125" t="str">
        <f t="shared" ref="AD20" si="9">AD21</f>
        <v>нд</v>
      </c>
      <c r="AE20" s="125" t="str">
        <f t="shared" ref="AE20" si="10">AE21</f>
        <v>нд</v>
      </c>
      <c r="AF20" s="125" t="str">
        <f t="shared" ref="AF20" si="11">AF21</f>
        <v>нд</v>
      </c>
      <c r="AG20" s="125" t="str">
        <f t="shared" ref="AG20" si="12">AG21</f>
        <v>нд</v>
      </c>
      <c r="AH20" s="125" t="str">
        <f t="shared" ref="AH20" si="13">AH21</f>
        <v>нд</v>
      </c>
      <c r="AI20" s="125" t="str">
        <f t="shared" ref="AI20" si="14">AI21</f>
        <v>нд</v>
      </c>
      <c r="AJ20" s="125" t="str">
        <f t="shared" ref="AJ20" si="15">AJ21</f>
        <v>нд</v>
      </c>
      <c r="AK20" s="125" t="str">
        <f t="shared" ref="AK20" si="16">AK21</f>
        <v>нд</v>
      </c>
      <c r="AL20" s="125" t="str">
        <f t="shared" ref="AL20" si="17">AL21</f>
        <v>нд</v>
      </c>
      <c r="AM20" s="125" t="str">
        <f t="shared" ref="AM20" si="18">AM21</f>
        <v>нд</v>
      </c>
      <c r="AN20" s="125" t="str">
        <f t="shared" ref="AN20" si="19">AN21</f>
        <v>нд</v>
      </c>
    </row>
    <row r="21" spans="1:40" s="129" customFormat="1" ht="20.25" customHeight="1" x14ac:dyDescent="0.25">
      <c r="A21" s="127" t="s">
        <v>38</v>
      </c>
      <c r="B21" s="10" t="s">
        <v>39</v>
      </c>
      <c r="C21" s="317" t="s">
        <v>33</v>
      </c>
      <c r="D21" s="317" t="s">
        <v>33</v>
      </c>
      <c r="E21" s="317" t="s">
        <v>33</v>
      </c>
      <c r="F21" s="317" t="s">
        <v>33</v>
      </c>
      <c r="G21" s="317" t="s">
        <v>33</v>
      </c>
      <c r="H21" s="317" t="s">
        <v>33</v>
      </c>
      <c r="I21" s="317" t="s">
        <v>33</v>
      </c>
      <c r="J21" s="317" t="s">
        <v>33</v>
      </c>
      <c r="K21" s="317" t="s">
        <v>33</v>
      </c>
      <c r="L21" s="317" t="s">
        <v>33</v>
      </c>
      <c r="M21" s="317" t="s">
        <v>33</v>
      </c>
      <c r="N21" s="317" t="s">
        <v>33</v>
      </c>
      <c r="O21" s="317" t="s">
        <v>33</v>
      </c>
      <c r="P21" s="317" t="s">
        <v>33</v>
      </c>
      <c r="Q21" s="317" t="s">
        <v>33</v>
      </c>
      <c r="R21" s="317" t="s">
        <v>33</v>
      </c>
      <c r="S21" s="317" t="s">
        <v>33</v>
      </c>
      <c r="T21" s="317" t="s">
        <v>33</v>
      </c>
      <c r="U21" s="317" t="s">
        <v>33</v>
      </c>
      <c r="V21" s="317" t="s">
        <v>33</v>
      </c>
      <c r="W21" s="317" t="s">
        <v>33</v>
      </c>
      <c r="X21" s="317" t="s">
        <v>33</v>
      </c>
      <c r="Y21" s="317" t="s">
        <v>33</v>
      </c>
      <c r="Z21" s="317" t="s">
        <v>33</v>
      </c>
      <c r="AA21" s="317" t="s">
        <v>33</v>
      </c>
      <c r="AB21" s="317" t="s">
        <v>33</v>
      </c>
      <c r="AC21" s="317" t="s">
        <v>33</v>
      </c>
      <c r="AD21" s="317" t="s">
        <v>33</v>
      </c>
      <c r="AE21" s="317" t="s">
        <v>33</v>
      </c>
      <c r="AF21" s="317" t="s">
        <v>33</v>
      </c>
      <c r="AG21" s="317" t="s">
        <v>33</v>
      </c>
      <c r="AH21" s="317" t="s">
        <v>33</v>
      </c>
      <c r="AI21" s="317" t="s">
        <v>33</v>
      </c>
      <c r="AJ21" s="317" t="s">
        <v>33</v>
      </c>
      <c r="AK21" s="317" t="s">
        <v>33</v>
      </c>
      <c r="AL21" s="317" t="s">
        <v>33</v>
      </c>
      <c r="AM21" s="317" t="s">
        <v>33</v>
      </c>
      <c r="AN21" s="317" t="s">
        <v>33</v>
      </c>
    </row>
    <row r="22" spans="1:40" s="191" customFormat="1" ht="30" x14ac:dyDescent="0.25">
      <c r="A22" s="13" t="s">
        <v>40</v>
      </c>
      <c r="B22" s="375" t="s">
        <v>1330</v>
      </c>
      <c r="C22" s="410" t="s">
        <v>1348</v>
      </c>
      <c r="D22" s="317" t="s">
        <v>33</v>
      </c>
      <c r="E22" s="317" t="s">
        <v>33</v>
      </c>
      <c r="F22" s="317" t="s">
        <v>33</v>
      </c>
      <c r="G22" s="317" t="s">
        <v>33</v>
      </c>
      <c r="H22" s="317" t="s">
        <v>33</v>
      </c>
      <c r="I22" s="317" t="s">
        <v>33</v>
      </c>
      <c r="J22" s="317" t="s">
        <v>33</v>
      </c>
      <c r="K22" s="317" t="s">
        <v>33</v>
      </c>
      <c r="L22" s="317" t="s">
        <v>33</v>
      </c>
      <c r="M22" s="317" t="s">
        <v>33</v>
      </c>
      <c r="N22" s="317" t="s">
        <v>33</v>
      </c>
      <c r="O22" s="317" t="s">
        <v>33</v>
      </c>
      <c r="P22" s="317" t="s">
        <v>33</v>
      </c>
      <c r="Q22" s="317" t="s">
        <v>33</v>
      </c>
      <c r="R22" s="317" t="s">
        <v>33</v>
      </c>
      <c r="S22" s="317" t="s">
        <v>33</v>
      </c>
      <c r="T22" s="317" t="s">
        <v>33</v>
      </c>
      <c r="U22" s="317" t="s">
        <v>33</v>
      </c>
      <c r="V22" s="317" t="s">
        <v>33</v>
      </c>
      <c r="W22" s="317" t="s">
        <v>33</v>
      </c>
      <c r="X22" s="317" t="s">
        <v>33</v>
      </c>
      <c r="Y22" s="317" t="s">
        <v>33</v>
      </c>
      <c r="Z22" s="317" t="s">
        <v>33</v>
      </c>
      <c r="AA22" s="317" t="s">
        <v>33</v>
      </c>
      <c r="AB22" s="317" t="s">
        <v>33</v>
      </c>
      <c r="AC22" s="317" t="s">
        <v>33</v>
      </c>
      <c r="AD22" s="317" t="s">
        <v>33</v>
      </c>
      <c r="AE22" s="317" t="s">
        <v>33</v>
      </c>
      <c r="AF22" s="317" t="s">
        <v>33</v>
      </c>
      <c r="AG22" s="317" t="s">
        <v>33</v>
      </c>
      <c r="AH22" s="317" t="s">
        <v>33</v>
      </c>
      <c r="AI22" s="317" t="s">
        <v>33</v>
      </c>
      <c r="AJ22" s="317" t="s">
        <v>33</v>
      </c>
      <c r="AK22" s="317" t="s">
        <v>33</v>
      </c>
      <c r="AL22" s="317" t="s">
        <v>33</v>
      </c>
      <c r="AM22" s="317" t="s">
        <v>33</v>
      </c>
      <c r="AN22" s="317" t="s">
        <v>33</v>
      </c>
    </row>
    <row r="23" spans="1:40" s="191" customFormat="1" x14ac:dyDescent="0.25">
      <c r="A23" s="13" t="s">
        <v>465</v>
      </c>
      <c r="B23" s="237" t="s">
        <v>648</v>
      </c>
      <c r="C23" s="410" t="s">
        <v>637</v>
      </c>
      <c r="D23" s="317" t="s">
        <v>33</v>
      </c>
      <c r="E23" s="317" t="s">
        <v>33</v>
      </c>
      <c r="F23" s="317" t="s">
        <v>33</v>
      </c>
      <c r="G23" s="317" t="s">
        <v>33</v>
      </c>
      <c r="H23" s="317" t="s">
        <v>33</v>
      </c>
      <c r="I23" s="317" t="s">
        <v>33</v>
      </c>
      <c r="J23" s="317" t="s">
        <v>33</v>
      </c>
      <c r="K23" s="317" t="s">
        <v>33</v>
      </c>
      <c r="L23" s="317" t="s">
        <v>33</v>
      </c>
      <c r="M23" s="317" t="s">
        <v>33</v>
      </c>
      <c r="N23" s="317" t="s">
        <v>33</v>
      </c>
      <c r="O23" s="317" t="s">
        <v>33</v>
      </c>
      <c r="P23" s="317" t="s">
        <v>33</v>
      </c>
      <c r="Q23" s="317" t="s">
        <v>33</v>
      </c>
      <c r="R23" s="317" t="s">
        <v>33</v>
      </c>
      <c r="S23" s="317" t="s">
        <v>33</v>
      </c>
      <c r="T23" s="317" t="s">
        <v>33</v>
      </c>
      <c r="U23" s="317" t="s">
        <v>33</v>
      </c>
      <c r="V23" s="317" t="s">
        <v>33</v>
      </c>
      <c r="W23" s="317" t="s">
        <v>33</v>
      </c>
      <c r="X23" s="317" t="s">
        <v>33</v>
      </c>
      <c r="Y23" s="317" t="s">
        <v>33</v>
      </c>
      <c r="Z23" s="317" t="s">
        <v>33</v>
      </c>
      <c r="AA23" s="317" t="s">
        <v>33</v>
      </c>
      <c r="AB23" s="317" t="s">
        <v>33</v>
      </c>
      <c r="AC23" s="317" t="s">
        <v>33</v>
      </c>
      <c r="AD23" s="317" t="s">
        <v>33</v>
      </c>
      <c r="AE23" s="317" t="s">
        <v>33</v>
      </c>
      <c r="AF23" s="317" t="s">
        <v>33</v>
      </c>
      <c r="AG23" s="317" t="s">
        <v>33</v>
      </c>
      <c r="AH23" s="317" t="s">
        <v>33</v>
      </c>
      <c r="AI23" s="317" t="s">
        <v>33</v>
      </c>
      <c r="AJ23" s="317" t="s">
        <v>33</v>
      </c>
      <c r="AK23" s="317" t="s">
        <v>33</v>
      </c>
      <c r="AL23" s="317" t="s">
        <v>33</v>
      </c>
      <c r="AM23" s="317" t="s">
        <v>33</v>
      </c>
      <c r="AN23" s="317" t="s">
        <v>33</v>
      </c>
    </row>
    <row r="24" spans="1:40" s="191" customFormat="1" x14ac:dyDescent="0.25">
      <c r="A24" s="13" t="s">
        <v>615</v>
      </c>
      <c r="B24" s="237" t="s">
        <v>649</v>
      </c>
      <c r="C24" s="410" t="s">
        <v>638</v>
      </c>
      <c r="D24" s="317" t="s">
        <v>33</v>
      </c>
      <c r="E24" s="317" t="s">
        <v>33</v>
      </c>
      <c r="F24" s="317" t="s">
        <v>33</v>
      </c>
      <c r="G24" s="317" t="s">
        <v>33</v>
      </c>
      <c r="H24" s="317" t="s">
        <v>33</v>
      </c>
      <c r="I24" s="317" t="s">
        <v>33</v>
      </c>
      <c r="J24" s="317" t="s">
        <v>33</v>
      </c>
      <c r="K24" s="317" t="s">
        <v>33</v>
      </c>
      <c r="L24" s="317" t="s">
        <v>33</v>
      </c>
      <c r="M24" s="317" t="s">
        <v>33</v>
      </c>
      <c r="N24" s="317" t="s">
        <v>33</v>
      </c>
      <c r="O24" s="317" t="s">
        <v>33</v>
      </c>
      <c r="P24" s="317" t="s">
        <v>33</v>
      </c>
      <c r="Q24" s="317" t="s">
        <v>33</v>
      </c>
      <c r="R24" s="317" t="s">
        <v>33</v>
      </c>
      <c r="S24" s="317" t="s">
        <v>33</v>
      </c>
      <c r="T24" s="317" t="s">
        <v>33</v>
      </c>
      <c r="U24" s="317" t="s">
        <v>33</v>
      </c>
      <c r="V24" s="317" t="s">
        <v>33</v>
      </c>
      <c r="W24" s="317" t="s">
        <v>33</v>
      </c>
      <c r="X24" s="317" t="s">
        <v>33</v>
      </c>
      <c r="Y24" s="317" t="s">
        <v>33</v>
      </c>
      <c r="Z24" s="317" t="s">
        <v>33</v>
      </c>
      <c r="AA24" s="317" t="s">
        <v>33</v>
      </c>
      <c r="AB24" s="317" t="s">
        <v>33</v>
      </c>
      <c r="AC24" s="317" t="s">
        <v>33</v>
      </c>
      <c r="AD24" s="317" t="s">
        <v>33</v>
      </c>
      <c r="AE24" s="317" t="s">
        <v>33</v>
      </c>
      <c r="AF24" s="317" t="s">
        <v>33</v>
      </c>
      <c r="AG24" s="317" t="s">
        <v>33</v>
      </c>
      <c r="AH24" s="317" t="s">
        <v>33</v>
      </c>
      <c r="AI24" s="317" t="s">
        <v>33</v>
      </c>
      <c r="AJ24" s="317" t="s">
        <v>33</v>
      </c>
      <c r="AK24" s="317" t="s">
        <v>33</v>
      </c>
      <c r="AL24" s="317" t="s">
        <v>33</v>
      </c>
      <c r="AM24" s="317" t="s">
        <v>33</v>
      </c>
      <c r="AN24" s="317" t="s">
        <v>33</v>
      </c>
    </row>
    <row r="25" spans="1:40" s="126" customFormat="1" ht="31.5" x14ac:dyDescent="0.25">
      <c r="A25" s="124" t="s">
        <v>41</v>
      </c>
      <c r="B25" s="39" t="s">
        <v>42</v>
      </c>
      <c r="C25" s="125" t="str">
        <f>C26</f>
        <v>нд</v>
      </c>
      <c r="D25" s="125" t="str">
        <f>D26</f>
        <v>нд</v>
      </c>
      <c r="E25" s="125" t="str">
        <f t="shared" ref="E25:Y25" si="20">E26</f>
        <v>нд</v>
      </c>
      <c r="F25" s="125" t="str">
        <f t="shared" si="20"/>
        <v>нд</v>
      </c>
      <c r="G25" s="125" t="str">
        <f t="shared" si="20"/>
        <v>нд</v>
      </c>
      <c r="H25" s="125" t="str">
        <f t="shared" si="20"/>
        <v>нд</v>
      </c>
      <c r="I25" s="125" t="str">
        <f t="shared" si="20"/>
        <v>нд</v>
      </c>
      <c r="J25" s="125" t="str">
        <f t="shared" si="20"/>
        <v>нд</v>
      </c>
      <c r="K25" s="125" t="str">
        <f t="shared" si="20"/>
        <v>нд</v>
      </c>
      <c r="L25" s="125" t="str">
        <f t="shared" si="20"/>
        <v>нд</v>
      </c>
      <c r="M25" s="125" t="str">
        <f t="shared" si="20"/>
        <v>нд</v>
      </c>
      <c r="N25" s="125" t="str">
        <f t="shared" si="20"/>
        <v>нд</v>
      </c>
      <c r="O25" s="125" t="str">
        <f t="shared" si="20"/>
        <v>нд</v>
      </c>
      <c r="P25" s="125" t="str">
        <f t="shared" si="20"/>
        <v>нд</v>
      </c>
      <c r="Q25" s="125" t="str">
        <f t="shared" si="20"/>
        <v>нд</v>
      </c>
      <c r="R25" s="125" t="str">
        <f t="shared" si="20"/>
        <v>нд</v>
      </c>
      <c r="S25" s="125" t="str">
        <f t="shared" si="20"/>
        <v>нд</v>
      </c>
      <c r="T25" s="125" t="str">
        <f t="shared" si="20"/>
        <v>нд</v>
      </c>
      <c r="U25" s="125" t="str">
        <f t="shared" si="20"/>
        <v>нд</v>
      </c>
      <c r="V25" s="125" t="str">
        <f t="shared" si="20"/>
        <v>нд</v>
      </c>
      <c r="W25" s="125" t="str">
        <f t="shared" si="20"/>
        <v>нд</v>
      </c>
      <c r="X25" s="125" t="str">
        <f t="shared" si="20"/>
        <v>нд</v>
      </c>
      <c r="Y25" s="125" t="str">
        <f t="shared" si="20"/>
        <v>нд</v>
      </c>
      <c r="Z25" s="125">
        <f t="shared" ref="Z25:AN25" si="21">Z26</f>
        <v>10.51430644096</v>
      </c>
      <c r="AA25" s="125" t="str">
        <f t="shared" si="21"/>
        <v>нд</v>
      </c>
      <c r="AB25" s="125" t="str">
        <f t="shared" si="21"/>
        <v>нд</v>
      </c>
      <c r="AC25" s="125">
        <f t="shared" si="21"/>
        <v>3.24715</v>
      </c>
      <c r="AD25" s="125" t="str">
        <f t="shared" si="21"/>
        <v>нд</v>
      </c>
      <c r="AE25" s="228" t="str">
        <f t="shared" si="21"/>
        <v>нд</v>
      </c>
      <c r="AF25" s="228" t="str">
        <f t="shared" si="21"/>
        <v>нд</v>
      </c>
      <c r="AG25" s="228" t="str">
        <f t="shared" si="21"/>
        <v>нд</v>
      </c>
      <c r="AH25" s="125">
        <f t="shared" si="21"/>
        <v>10.51430644096</v>
      </c>
      <c r="AI25" s="228" t="str">
        <f t="shared" si="21"/>
        <v>нд</v>
      </c>
      <c r="AJ25" s="228" t="str">
        <f t="shared" si="21"/>
        <v>нд</v>
      </c>
      <c r="AK25" s="125">
        <f t="shared" si="21"/>
        <v>3.24715</v>
      </c>
      <c r="AL25" s="228" t="str">
        <f t="shared" si="21"/>
        <v>нд</v>
      </c>
      <c r="AM25" s="228" t="str">
        <f t="shared" si="21"/>
        <v>нд</v>
      </c>
      <c r="AN25" s="228" t="str">
        <f t="shared" si="21"/>
        <v>нд</v>
      </c>
    </row>
    <row r="26" spans="1:40" s="129" customFormat="1" x14ac:dyDescent="0.25">
      <c r="A26" s="127" t="s">
        <v>49</v>
      </c>
      <c r="B26" s="10" t="s">
        <v>50</v>
      </c>
      <c r="C26" s="317" t="s">
        <v>33</v>
      </c>
      <c r="D26" s="317" t="s">
        <v>33</v>
      </c>
      <c r="E26" s="317" t="s">
        <v>33</v>
      </c>
      <c r="F26" s="317" t="s">
        <v>33</v>
      </c>
      <c r="G26" s="317" t="s">
        <v>33</v>
      </c>
      <c r="H26" s="317" t="s">
        <v>33</v>
      </c>
      <c r="I26" s="317" t="s">
        <v>33</v>
      </c>
      <c r="J26" s="317" t="s">
        <v>33</v>
      </c>
      <c r="K26" s="317" t="s">
        <v>33</v>
      </c>
      <c r="L26" s="317" t="s">
        <v>33</v>
      </c>
      <c r="M26" s="317" t="s">
        <v>33</v>
      </c>
      <c r="N26" s="317" t="s">
        <v>33</v>
      </c>
      <c r="O26" s="317" t="s">
        <v>33</v>
      </c>
      <c r="P26" s="317" t="s">
        <v>33</v>
      </c>
      <c r="Q26" s="317" t="s">
        <v>33</v>
      </c>
      <c r="R26" s="317" t="s">
        <v>33</v>
      </c>
      <c r="S26" s="317" t="s">
        <v>33</v>
      </c>
      <c r="T26" s="317" t="s">
        <v>33</v>
      </c>
      <c r="U26" s="317" t="s">
        <v>33</v>
      </c>
      <c r="V26" s="317" t="s">
        <v>33</v>
      </c>
      <c r="W26" s="317" t="s">
        <v>33</v>
      </c>
      <c r="X26" s="317" t="s">
        <v>33</v>
      </c>
      <c r="Y26" s="317" t="s">
        <v>33</v>
      </c>
      <c r="Z26" s="128">
        <f>SUM(Z27:Z31)</f>
        <v>10.51430644096</v>
      </c>
      <c r="AA26" s="317" t="s">
        <v>33</v>
      </c>
      <c r="AB26" s="317" t="s">
        <v>33</v>
      </c>
      <c r="AC26" s="128">
        <f>SUM(AC27:AC31)</f>
        <v>3.24715</v>
      </c>
      <c r="AD26" s="317" t="s">
        <v>33</v>
      </c>
      <c r="AE26" s="326" t="s">
        <v>33</v>
      </c>
      <c r="AF26" s="326" t="s">
        <v>33</v>
      </c>
      <c r="AG26" s="326" t="s">
        <v>33</v>
      </c>
      <c r="AH26" s="128">
        <f>SUM(AH27:AH31)</f>
        <v>10.51430644096</v>
      </c>
      <c r="AI26" s="326" t="s">
        <v>33</v>
      </c>
      <c r="AJ26" s="326" t="s">
        <v>33</v>
      </c>
      <c r="AK26" s="128">
        <f>SUM(AK27:AK31)</f>
        <v>3.24715</v>
      </c>
      <c r="AL26" s="326" t="s">
        <v>33</v>
      </c>
      <c r="AM26" s="326" t="s">
        <v>33</v>
      </c>
      <c r="AN26" s="326" t="s">
        <v>33</v>
      </c>
    </row>
    <row r="27" spans="1:40" s="191" customFormat="1" ht="47.25" x14ac:dyDescent="0.25">
      <c r="A27" s="13" t="s">
        <v>51</v>
      </c>
      <c r="B27" s="236" t="s">
        <v>650</v>
      </c>
      <c r="C27" s="410" t="s">
        <v>1329</v>
      </c>
      <c r="D27" s="317" t="s">
        <v>33</v>
      </c>
      <c r="E27" s="317" t="s">
        <v>33</v>
      </c>
      <c r="F27" s="317" t="s">
        <v>33</v>
      </c>
      <c r="G27" s="317" t="s">
        <v>33</v>
      </c>
      <c r="H27" s="317" t="s">
        <v>33</v>
      </c>
      <c r="I27" s="317" t="s">
        <v>33</v>
      </c>
      <c r="J27" s="317" t="s">
        <v>33</v>
      </c>
      <c r="K27" s="317" t="s">
        <v>33</v>
      </c>
      <c r="L27" s="317" t="s">
        <v>33</v>
      </c>
      <c r="M27" s="317" t="s">
        <v>33</v>
      </c>
      <c r="N27" s="317" t="s">
        <v>33</v>
      </c>
      <c r="O27" s="317" t="s">
        <v>33</v>
      </c>
      <c r="P27" s="317" t="s">
        <v>33</v>
      </c>
      <c r="Q27" s="317" t="s">
        <v>33</v>
      </c>
      <c r="R27" s="317" t="s">
        <v>33</v>
      </c>
      <c r="S27" s="317" t="s">
        <v>33</v>
      </c>
      <c r="T27" s="317" t="s">
        <v>33</v>
      </c>
      <c r="U27" s="317" t="s">
        <v>33</v>
      </c>
      <c r="V27" s="317" t="s">
        <v>33</v>
      </c>
      <c r="W27" s="317" t="s">
        <v>33</v>
      </c>
      <c r="X27" s="317" t="s">
        <v>33</v>
      </c>
      <c r="Y27" s="317" t="s">
        <v>33</v>
      </c>
      <c r="Z27" s="190" t="str">
        <f>Ф4!BI27</f>
        <v>нд</v>
      </c>
      <c r="AA27" s="190" t="str">
        <f>Ф4!BB28</f>
        <v>нд</v>
      </c>
      <c r="AB27" s="190" t="str">
        <f>Ф4!BC28</f>
        <v>нд</v>
      </c>
      <c r="AC27" s="190" t="str">
        <f>Ф4!BL27</f>
        <v>нд</v>
      </c>
      <c r="AD27" s="190" t="str">
        <f>Ф4!BE28</f>
        <v>нд</v>
      </c>
      <c r="AE27" s="230" t="str">
        <f>Ф4!BF28</f>
        <v>нд</v>
      </c>
      <c r="AF27" s="230" t="str">
        <f>Ф4!BG28</f>
        <v>нд</v>
      </c>
      <c r="AG27" s="230" t="str">
        <f>Ф4!BH28</f>
        <v>нд</v>
      </c>
      <c r="AH27" s="190" t="str">
        <f>Z27</f>
        <v>нд</v>
      </c>
      <c r="AI27" s="230" t="str">
        <f>Ф4!BJ28</f>
        <v>нд</v>
      </c>
      <c r="AJ27" s="230" t="str">
        <f>Ф4!BK28</f>
        <v>нд</v>
      </c>
      <c r="AK27" s="190" t="str">
        <f>AC27</f>
        <v>нд</v>
      </c>
      <c r="AL27" s="230" t="str">
        <f>Ф4!BM28</f>
        <v>нд</v>
      </c>
      <c r="AM27" s="230" t="str">
        <f>Ф4!BN28</f>
        <v>нд</v>
      </c>
      <c r="AN27" s="230" t="str">
        <f>Ф4!BO28</f>
        <v>нд</v>
      </c>
    </row>
    <row r="28" spans="1:40" s="191" customFormat="1" x14ac:dyDescent="0.25">
      <c r="A28" s="13" t="s">
        <v>578</v>
      </c>
      <c r="B28" s="236" t="s">
        <v>651</v>
      </c>
      <c r="C28" s="410" t="s">
        <v>1349</v>
      </c>
      <c r="D28" s="317" t="s">
        <v>33</v>
      </c>
      <c r="E28" s="317" t="s">
        <v>33</v>
      </c>
      <c r="F28" s="317" t="s">
        <v>33</v>
      </c>
      <c r="G28" s="317" t="s">
        <v>33</v>
      </c>
      <c r="H28" s="317" t="s">
        <v>33</v>
      </c>
      <c r="I28" s="317" t="s">
        <v>33</v>
      </c>
      <c r="J28" s="317" t="s">
        <v>33</v>
      </c>
      <c r="K28" s="317" t="s">
        <v>33</v>
      </c>
      <c r="L28" s="317" t="s">
        <v>33</v>
      </c>
      <c r="M28" s="317" t="s">
        <v>33</v>
      </c>
      <c r="N28" s="317" t="s">
        <v>33</v>
      </c>
      <c r="O28" s="317" t="s">
        <v>33</v>
      </c>
      <c r="P28" s="317" t="s">
        <v>33</v>
      </c>
      <c r="Q28" s="317" t="s">
        <v>33</v>
      </c>
      <c r="R28" s="317" t="s">
        <v>33</v>
      </c>
      <c r="S28" s="317" t="s">
        <v>33</v>
      </c>
      <c r="T28" s="317" t="s">
        <v>33</v>
      </c>
      <c r="U28" s="317" t="s">
        <v>33</v>
      </c>
      <c r="V28" s="317" t="s">
        <v>33</v>
      </c>
      <c r="W28" s="317" t="s">
        <v>33</v>
      </c>
      <c r="X28" s="317" t="s">
        <v>33</v>
      </c>
      <c r="Y28" s="317" t="s">
        <v>33</v>
      </c>
      <c r="Z28" s="516">
        <f>Ф4!BI28</f>
        <v>0.93407663131999996</v>
      </c>
      <c r="AA28" s="516" t="str">
        <f>Ф4!BB29</f>
        <v>нд</v>
      </c>
      <c r="AB28" s="516" t="str">
        <f>Ф4!BC29</f>
        <v>нд</v>
      </c>
      <c r="AC28" s="516">
        <f>Ф4!BL28</f>
        <v>0.74199999999999999</v>
      </c>
      <c r="AD28" s="516" t="str">
        <f>Ф4!BE29</f>
        <v>нд</v>
      </c>
      <c r="AE28" s="518" t="str">
        <f>Ф4!BF29</f>
        <v>нд</v>
      </c>
      <c r="AF28" s="518" t="str">
        <f>Ф4!BG29</f>
        <v>нд</v>
      </c>
      <c r="AG28" s="518" t="str">
        <f>Ф4!BH29</f>
        <v>нд</v>
      </c>
      <c r="AH28" s="516">
        <f>Z28</f>
        <v>0.93407663131999996</v>
      </c>
      <c r="AI28" s="518" t="str">
        <f>Ф4!BJ29</f>
        <v>нд</v>
      </c>
      <c r="AJ28" s="518" t="str">
        <f>Ф4!BK29</f>
        <v>нд</v>
      </c>
      <c r="AK28" s="516">
        <f>AC28</f>
        <v>0.74199999999999999</v>
      </c>
      <c r="AL28" s="518" t="str">
        <f>Ф4!BM29</f>
        <v>нд</v>
      </c>
      <c r="AM28" s="518" t="str">
        <f>Ф4!BN29</f>
        <v>нд</v>
      </c>
      <c r="AN28" s="518" t="str">
        <f>Ф4!BO29</f>
        <v>нд</v>
      </c>
    </row>
    <row r="29" spans="1:40" s="191" customFormat="1" x14ac:dyDescent="0.25">
      <c r="A29" s="13" t="s">
        <v>580</v>
      </c>
      <c r="B29" s="236" t="s">
        <v>652</v>
      </c>
      <c r="C29" s="410" t="s">
        <v>1350</v>
      </c>
      <c r="D29" s="317" t="s">
        <v>33</v>
      </c>
      <c r="E29" s="317" t="s">
        <v>33</v>
      </c>
      <c r="F29" s="317" t="s">
        <v>33</v>
      </c>
      <c r="G29" s="317" t="s">
        <v>33</v>
      </c>
      <c r="H29" s="317" t="s">
        <v>33</v>
      </c>
      <c r="I29" s="317" t="s">
        <v>33</v>
      </c>
      <c r="J29" s="317" t="s">
        <v>33</v>
      </c>
      <c r="K29" s="317" t="s">
        <v>33</v>
      </c>
      <c r="L29" s="317" t="s">
        <v>33</v>
      </c>
      <c r="M29" s="317" t="s">
        <v>33</v>
      </c>
      <c r="N29" s="317" t="s">
        <v>33</v>
      </c>
      <c r="O29" s="317" t="s">
        <v>33</v>
      </c>
      <c r="P29" s="317" t="s">
        <v>33</v>
      </c>
      <c r="Q29" s="317" t="s">
        <v>33</v>
      </c>
      <c r="R29" s="317" t="s">
        <v>33</v>
      </c>
      <c r="S29" s="317" t="s">
        <v>33</v>
      </c>
      <c r="T29" s="317" t="s">
        <v>33</v>
      </c>
      <c r="U29" s="317" t="s">
        <v>33</v>
      </c>
      <c r="V29" s="317" t="s">
        <v>33</v>
      </c>
      <c r="W29" s="317" t="s">
        <v>33</v>
      </c>
      <c r="X29" s="317" t="s">
        <v>33</v>
      </c>
      <c r="Y29" s="317" t="s">
        <v>33</v>
      </c>
      <c r="Z29" s="516">
        <f>Ф4!BI29</f>
        <v>0.96983062959999999</v>
      </c>
      <c r="AA29" s="517" t="s">
        <v>33</v>
      </c>
      <c r="AB29" s="517" t="s">
        <v>33</v>
      </c>
      <c r="AC29" s="516">
        <f>Ф4!BL29</f>
        <v>0.82499999999999996</v>
      </c>
      <c r="AD29" s="517" t="s">
        <v>33</v>
      </c>
      <c r="AE29" s="517" t="s">
        <v>33</v>
      </c>
      <c r="AF29" s="517" t="s">
        <v>33</v>
      </c>
      <c r="AG29" s="517" t="s">
        <v>33</v>
      </c>
      <c r="AH29" s="516">
        <f t="shared" ref="AH29:AH30" si="22">Z29</f>
        <v>0.96983062959999999</v>
      </c>
      <c r="AI29" s="517" t="s">
        <v>33</v>
      </c>
      <c r="AJ29" s="517" t="s">
        <v>33</v>
      </c>
      <c r="AK29" s="516">
        <f t="shared" ref="AK29:AK30" si="23">AC29</f>
        <v>0.82499999999999996</v>
      </c>
      <c r="AL29" s="517" t="s">
        <v>33</v>
      </c>
      <c r="AM29" s="517" t="s">
        <v>33</v>
      </c>
      <c r="AN29" s="517" t="s">
        <v>33</v>
      </c>
    </row>
    <row r="30" spans="1:40" s="191" customFormat="1" ht="31.5" x14ac:dyDescent="0.25">
      <c r="A30" s="13" t="s">
        <v>581</v>
      </c>
      <c r="B30" s="236" t="s">
        <v>1340</v>
      </c>
      <c r="C30" s="410" t="s">
        <v>1351</v>
      </c>
      <c r="D30" s="317" t="s">
        <v>33</v>
      </c>
      <c r="E30" s="317" t="s">
        <v>33</v>
      </c>
      <c r="F30" s="317" t="s">
        <v>33</v>
      </c>
      <c r="G30" s="317" t="s">
        <v>33</v>
      </c>
      <c r="H30" s="317" t="s">
        <v>33</v>
      </c>
      <c r="I30" s="317" t="s">
        <v>33</v>
      </c>
      <c r="J30" s="317" t="s">
        <v>33</v>
      </c>
      <c r="K30" s="317" t="s">
        <v>33</v>
      </c>
      <c r="L30" s="317" t="s">
        <v>33</v>
      </c>
      <c r="M30" s="317" t="s">
        <v>33</v>
      </c>
      <c r="N30" s="317" t="s">
        <v>33</v>
      </c>
      <c r="O30" s="317" t="s">
        <v>33</v>
      </c>
      <c r="P30" s="317" t="s">
        <v>33</v>
      </c>
      <c r="Q30" s="317" t="s">
        <v>33</v>
      </c>
      <c r="R30" s="317" t="s">
        <v>33</v>
      </c>
      <c r="S30" s="317" t="s">
        <v>33</v>
      </c>
      <c r="T30" s="317" t="s">
        <v>33</v>
      </c>
      <c r="U30" s="317" t="s">
        <v>33</v>
      </c>
      <c r="V30" s="317" t="s">
        <v>33</v>
      </c>
      <c r="W30" s="317" t="s">
        <v>33</v>
      </c>
      <c r="X30" s="317" t="s">
        <v>33</v>
      </c>
      <c r="Y30" s="317" t="s">
        <v>33</v>
      </c>
      <c r="Z30" s="516">
        <f>Ф4!BI30</f>
        <v>8.6103991800399999</v>
      </c>
      <c r="AA30" s="517" t="s">
        <v>33</v>
      </c>
      <c r="AB30" s="517" t="s">
        <v>33</v>
      </c>
      <c r="AC30" s="516">
        <f>Ф4!BL30</f>
        <v>1.68015</v>
      </c>
      <c r="AD30" s="517" t="s">
        <v>33</v>
      </c>
      <c r="AE30" s="517" t="s">
        <v>33</v>
      </c>
      <c r="AF30" s="517" t="s">
        <v>33</v>
      </c>
      <c r="AG30" s="517" t="s">
        <v>33</v>
      </c>
      <c r="AH30" s="516">
        <f t="shared" si="22"/>
        <v>8.6103991800399999</v>
      </c>
      <c r="AI30" s="517" t="s">
        <v>33</v>
      </c>
      <c r="AJ30" s="517" t="s">
        <v>33</v>
      </c>
      <c r="AK30" s="516">
        <f t="shared" si="23"/>
        <v>1.68015</v>
      </c>
      <c r="AL30" s="517" t="s">
        <v>33</v>
      </c>
      <c r="AM30" s="517" t="s">
        <v>33</v>
      </c>
      <c r="AN30" s="517" t="s">
        <v>33</v>
      </c>
    </row>
    <row r="31" spans="1:40" s="191" customFormat="1" ht="47.25" customHeight="1" x14ac:dyDescent="0.25">
      <c r="A31" s="13" t="s">
        <v>1368</v>
      </c>
      <c r="B31" s="236" t="s">
        <v>653</v>
      </c>
      <c r="C31" s="410" t="s">
        <v>640</v>
      </c>
      <c r="D31" s="317" t="s">
        <v>33</v>
      </c>
      <c r="E31" s="317" t="s">
        <v>33</v>
      </c>
      <c r="F31" s="317" t="s">
        <v>33</v>
      </c>
      <c r="G31" s="317" t="s">
        <v>33</v>
      </c>
      <c r="H31" s="317" t="s">
        <v>33</v>
      </c>
      <c r="I31" s="317" t="s">
        <v>33</v>
      </c>
      <c r="J31" s="317" t="s">
        <v>33</v>
      </c>
      <c r="K31" s="317" t="s">
        <v>33</v>
      </c>
      <c r="L31" s="317" t="s">
        <v>33</v>
      </c>
      <c r="M31" s="317" t="s">
        <v>33</v>
      </c>
      <c r="N31" s="317" t="s">
        <v>33</v>
      </c>
      <c r="O31" s="317" t="s">
        <v>33</v>
      </c>
      <c r="P31" s="317" t="s">
        <v>33</v>
      </c>
      <c r="Q31" s="317" t="s">
        <v>33</v>
      </c>
      <c r="R31" s="317" t="s">
        <v>33</v>
      </c>
      <c r="S31" s="317" t="s">
        <v>33</v>
      </c>
      <c r="T31" s="317" t="s">
        <v>33</v>
      </c>
      <c r="U31" s="317" t="s">
        <v>33</v>
      </c>
      <c r="V31" s="317" t="s">
        <v>33</v>
      </c>
      <c r="W31" s="317" t="s">
        <v>33</v>
      </c>
      <c r="X31" s="317" t="s">
        <v>33</v>
      </c>
      <c r="Y31" s="317" t="s">
        <v>33</v>
      </c>
      <c r="Z31" s="317" t="s">
        <v>33</v>
      </c>
      <c r="AA31" s="317" t="s">
        <v>33</v>
      </c>
      <c r="AB31" s="317" t="s">
        <v>33</v>
      </c>
      <c r="AC31" s="317" t="s">
        <v>33</v>
      </c>
      <c r="AD31" s="317" t="s">
        <v>33</v>
      </c>
      <c r="AE31" s="317" t="s">
        <v>33</v>
      </c>
      <c r="AF31" s="317" t="s">
        <v>33</v>
      </c>
      <c r="AG31" s="317" t="s">
        <v>33</v>
      </c>
      <c r="AH31" s="317" t="s">
        <v>33</v>
      </c>
      <c r="AI31" s="317" t="s">
        <v>33</v>
      </c>
      <c r="AJ31" s="317" t="s">
        <v>33</v>
      </c>
      <c r="AK31" s="317" t="s">
        <v>33</v>
      </c>
      <c r="AL31" s="317" t="s">
        <v>33</v>
      </c>
      <c r="AM31" s="317" t="s">
        <v>33</v>
      </c>
      <c r="AN31" s="317" t="s">
        <v>33</v>
      </c>
    </row>
    <row r="32" spans="1:40" s="126" customFormat="1" ht="31.5" x14ac:dyDescent="0.25">
      <c r="A32" s="124" t="s">
        <v>68</v>
      </c>
      <c r="B32" s="39" t="s">
        <v>69</v>
      </c>
      <c r="C32" s="125" t="str">
        <f t="shared" ref="C32:AN32" si="24">C33</f>
        <v>нд</v>
      </c>
      <c r="D32" s="125" t="str">
        <f t="shared" si="24"/>
        <v>нд</v>
      </c>
      <c r="E32" s="125" t="str">
        <f t="shared" si="24"/>
        <v>нд</v>
      </c>
      <c r="F32" s="125" t="str">
        <f t="shared" si="24"/>
        <v>нд</v>
      </c>
      <c r="G32" s="125" t="str">
        <f t="shared" si="24"/>
        <v>нд</v>
      </c>
      <c r="H32" s="125" t="str">
        <f t="shared" si="24"/>
        <v>нд</v>
      </c>
      <c r="I32" s="125" t="str">
        <f t="shared" si="24"/>
        <v>нд</v>
      </c>
      <c r="J32" s="125" t="str">
        <f t="shared" si="24"/>
        <v>нд</v>
      </c>
      <c r="K32" s="125" t="str">
        <f t="shared" si="24"/>
        <v>нд</v>
      </c>
      <c r="L32" s="125" t="str">
        <f t="shared" si="24"/>
        <v>нд</v>
      </c>
      <c r="M32" s="125" t="str">
        <f t="shared" si="24"/>
        <v>нд</v>
      </c>
      <c r="N32" s="125" t="str">
        <f t="shared" si="24"/>
        <v>нд</v>
      </c>
      <c r="O32" s="125" t="str">
        <f t="shared" si="24"/>
        <v>нд</v>
      </c>
      <c r="P32" s="125" t="str">
        <f t="shared" si="24"/>
        <v>нд</v>
      </c>
      <c r="Q32" s="125" t="str">
        <f t="shared" si="24"/>
        <v>нд</v>
      </c>
      <c r="R32" s="125" t="str">
        <f t="shared" si="24"/>
        <v>нд</v>
      </c>
      <c r="S32" s="125" t="str">
        <f t="shared" si="24"/>
        <v>нд</v>
      </c>
      <c r="T32" s="125" t="str">
        <f t="shared" si="24"/>
        <v>нд</v>
      </c>
      <c r="U32" s="125" t="str">
        <f t="shared" si="24"/>
        <v>нд</v>
      </c>
      <c r="V32" s="125" t="str">
        <f t="shared" si="24"/>
        <v>нд</v>
      </c>
      <c r="W32" s="125" t="str">
        <f t="shared" si="24"/>
        <v>нд</v>
      </c>
      <c r="X32" s="125" t="str">
        <f t="shared" si="24"/>
        <v>нд</v>
      </c>
      <c r="Y32" s="125" t="str">
        <f t="shared" si="24"/>
        <v>нд</v>
      </c>
      <c r="Z32" s="125">
        <f t="shared" si="24"/>
        <v>1.0805480000000001</v>
      </c>
      <c r="AA32" s="125" t="str">
        <f t="shared" si="24"/>
        <v>нд</v>
      </c>
      <c r="AB32" s="125" t="str">
        <f t="shared" si="24"/>
        <v>нд</v>
      </c>
      <c r="AC32" s="125" t="str">
        <f t="shared" si="24"/>
        <v>нд</v>
      </c>
      <c r="AD32" s="125" t="str">
        <f t="shared" si="24"/>
        <v>нд</v>
      </c>
      <c r="AE32" s="180">
        <f t="shared" si="24"/>
        <v>1</v>
      </c>
      <c r="AF32" s="228" t="str">
        <f t="shared" si="24"/>
        <v>нд</v>
      </c>
      <c r="AG32" s="125" t="str">
        <f t="shared" si="24"/>
        <v>нд</v>
      </c>
      <c r="AH32" s="125">
        <f t="shared" si="24"/>
        <v>1.0805480000000001</v>
      </c>
      <c r="AI32" s="125" t="str">
        <f t="shared" si="24"/>
        <v>нд</v>
      </c>
      <c r="AJ32" s="125" t="str">
        <f t="shared" si="24"/>
        <v>нд</v>
      </c>
      <c r="AK32" s="125" t="str">
        <f t="shared" si="24"/>
        <v>нд</v>
      </c>
      <c r="AL32" s="125" t="str">
        <f t="shared" si="24"/>
        <v>нд</v>
      </c>
      <c r="AM32" s="180">
        <f t="shared" si="24"/>
        <v>1</v>
      </c>
      <c r="AN32" s="180" t="str">
        <f t="shared" si="24"/>
        <v>нд</v>
      </c>
    </row>
    <row r="33" spans="1:40" s="129" customFormat="1" ht="31.5" outlineLevel="1" x14ac:dyDescent="0.25">
      <c r="A33" s="127" t="s">
        <v>70</v>
      </c>
      <c r="B33" s="10" t="s">
        <v>71</v>
      </c>
      <c r="C33" s="317" t="s">
        <v>33</v>
      </c>
      <c r="D33" s="317" t="s">
        <v>33</v>
      </c>
      <c r="E33" s="317" t="s">
        <v>33</v>
      </c>
      <c r="F33" s="317" t="s">
        <v>33</v>
      </c>
      <c r="G33" s="317" t="s">
        <v>33</v>
      </c>
      <c r="H33" s="317" t="s">
        <v>33</v>
      </c>
      <c r="I33" s="317" t="s">
        <v>33</v>
      </c>
      <c r="J33" s="317" t="s">
        <v>33</v>
      </c>
      <c r="K33" s="317" t="s">
        <v>33</v>
      </c>
      <c r="L33" s="317" t="s">
        <v>33</v>
      </c>
      <c r="M33" s="317" t="s">
        <v>33</v>
      </c>
      <c r="N33" s="317" t="s">
        <v>33</v>
      </c>
      <c r="O33" s="317" t="s">
        <v>33</v>
      </c>
      <c r="P33" s="317" t="s">
        <v>33</v>
      </c>
      <c r="Q33" s="317" t="s">
        <v>33</v>
      </c>
      <c r="R33" s="317" t="s">
        <v>33</v>
      </c>
      <c r="S33" s="317" t="s">
        <v>33</v>
      </c>
      <c r="T33" s="317" t="s">
        <v>33</v>
      </c>
      <c r="U33" s="317" t="s">
        <v>33</v>
      </c>
      <c r="V33" s="317" t="s">
        <v>33</v>
      </c>
      <c r="W33" s="317" t="s">
        <v>33</v>
      </c>
      <c r="X33" s="317" t="s">
        <v>33</v>
      </c>
      <c r="Y33" s="317" t="s">
        <v>33</v>
      </c>
      <c r="Z33" s="128">
        <f t="shared" ref="Z33:AH33" si="25">SUM(Z34:Z39)</f>
        <v>1.0805480000000001</v>
      </c>
      <c r="AA33" s="317" t="s">
        <v>33</v>
      </c>
      <c r="AB33" s="317" t="s">
        <v>33</v>
      </c>
      <c r="AC33" s="317" t="s">
        <v>33</v>
      </c>
      <c r="AD33" s="317" t="s">
        <v>33</v>
      </c>
      <c r="AE33" s="181">
        <f t="shared" ref="AE33" si="26">SUM(AE34:AE39)</f>
        <v>1</v>
      </c>
      <c r="AF33" s="326" t="s">
        <v>33</v>
      </c>
      <c r="AG33" s="326" t="s">
        <v>33</v>
      </c>
      <c r="AH33" s="128">
        <f t="shared" si="25"/>
        <v>1.0805480000000001</v>
      </c>
      <c r="AI33" s="326" t="s">
        <v>33</v>
      </c>
      <c r="AJ33" s="326" t="s">
        <v>33</v>
      </c>
      <c r="AK33" s="326" t="s">
        <v>33</v>
      </c>
      <c r="AL33" s="326" t="s">
        <v>33</v>
      </c>
      <c r="AM33" s="181">
        <f t="shared" ref="AM33" si="27">SUM(AM34:AM39)</f>
        <v>1</v>
      </c>
      <c r="AN33" s="327" t="s">
        <v>33</v>
      </c>
    </row>
    <row r="34" spans="1:40" s="129" customFormat="1" outlineLevel="1" x14ac:dyDescent="0.25">
      <c r="A34" s="13" t="s">
        <v>616</v>
      </c>
      <c r="B34" s="210" t="s">
        <v>621</v>
      </c>
      <c r="C34" s="201" t="s">
        <v>641</v>
      </c>
      <c r="D34" s="317" t="s">
        <v>33</v>
      </c>
      <c r="E34" s="317" t="s">
        <v>33</v>
      </c>
      <c r="F34" s="317" t="s">
        <v>33</v>
      </c>
      <c r="G34" s="317" t="s">
        <v>33</v>
      </c>
      <c r="H34" s="317" t="s">
        <v>33</v>
      </c>
      <c r="I34" s="317" t="s">
        <v>33</v>
      </c>
      <c r="J34" s="317" t="s">
        <v>33</v>
      </c>
      <c r="K34" s="317" t="s">
        <v>33</v>
      </c>
      <c r="L34" s="317" t="s">
        <v>33</v>
      </c>
      <c r="M34" s="317" t="s">
        <v>33</v>
      </c>
      <c r="N34" s="317" t="s">
        <v>33</v>
      </c>
      <c r="O34" s="317" t="s">
        <v>33</v>
      </c>
      <c r="P34" s="317" t="s">
        <v>33</v>
      </c>
      <c r="Q34" s="317" t="s">
        <v>33</v>
      </c>
      <c r="R34" s="317" t="s">
        <v>33</v>
      </c>
      <c r="S34" s="317" t="s">
        <v>33</v>
      </c>
      <c r="T34" s="317" t="s">
        <v>33</v>
      </c>
      <c r="U34" s="317" t="s">
        <v>33</v>
      </c>
      <c r="V34" s="317" t="s">
        <v>33</v>
      </c>
      <c r="W34" s="317" t="s">
        <v>33</v>
      </c>
      <c r="X34" s="317" t="s">
        <v>33</v>
      </c>
      <c r="Y34" s="317" t="s">
        <v>33</v>
      </c>
      <c r="Z34" s="190" t="str">
        <f>Ф4!BI34</f>
        <v>нд</v>
      </c>
      <c r="AA34" s="317" t="s">
        <v>33</v>
      </c>
      <c r="AB34" s="317" t="s">
        <v>33</v>
      </c>
      <c r="AC34" s="317" t="s">
        <v>33</v>
      </c>
      <c r="AD34" s="317" t="s">
        <v>33</v>
      </c>
      <c r="AE34" s="317" t="s">
        <v>33</v>
      </c>
      <c r="AF34" s="317" t="s">
        <v>33</v>
      </c>
      <c r="AG34" s="317" t="s">
        <v>33</v>
      </c>
      <c r="AH34" s="317" t="s">
        <v>33</v>
      </c>
      <c r="AI34" s="317" t="s">
        <v>33</v>
      </c>
      <c r="AJ34" s="317" t="s">
        <v>33</v>
      </c>
      <c r="AK34" s="317" t="s">
        <v>33</v>
      </c>
      <c r="AL34" s="317" t="s">
        <v>33</v>
      </c>
      <c r="AM34" s="317" t="s">
        <v>33</v>
      </c>
      <c r="AN34" s="317" t="s">
        <v>33</v>
      </c>
    </row>
    <row r="35" spans="1:40" s="129" customFormat="1" outlineLevel="1" x14ac:dyDescent="0.25">
      <c r="A35" s="13" t="s">
        <v>617</v>
      </c>
      <c r="B35" s="210" t="s">
        <v>621</v>
      </c>
      <c r="C35" s="201" t="s">
        <v>1359</v>
      </c>
      <c r="D35" s="317" t="s">
        <v>33</v>
      </c>
      <c r="E35" s="317" t="s">
        <v>33</v>
      </c>
      <c r="F35" s="317" t="s">
        <v>33</v>
      </c>
      <c r="G35" s="317" t="s">
        <v>33</v>
      </c>
      <c r="H35" s="317" t="s">
        <v>33</v>
      </c>
      <c r="I35" s="317" t="s">
        <v>33</v>
      </c>
      <c r="J35" s="317" t="s">
        <v>33</v>
      </c>
      <c r="K35" s="317" t="s">
        <v>33</v>
      </c>
      <c r="L35" s="317" t="s">
        <v>33</v>
      </c>
      <c r="M35" s="317" t="s">
        <v>33</v>
      </c>
      <c r="N35" s="317" t="s">
        <v>33</v>
      </c>
      <c r="O35" s="317" t="s">
        <v>33</v>
      </c>
      <c r="P35" s="317" t="s">
        <v>33</v>
      </c>
      <c r="Q35" s="317" t="s">
        <v>33</v>
      </c>
      <c r="R35" s="317" t="s">
        <v>33</v>
      </c>
      <c r="S35" s="317" t="s">
        <v>33</v>
      </c>
      <c r="T35" s="317" t="s">
        <v>33</v>
      </c>
      <c r="U35" s="317" t="s">
        <v>33</v>
      </c>
      <c r="V35" s="317" t="s">
        <v>33</v>
      </c>
      <c r="W35" s="317" t="s">
        <v>33</v>
      </c>
      <c r="X35" s="317" t="s">
        <v>33</v>
      </c>
      <c r="Y35" s="317" t="s">
        <v>33</v>
      </c>
      <c r="Z35" s="190" t="str">
        <f>Ф4!BI35</f>
        <v>нд</v>
      </c>
      <c r="AA35" s="317" t="s">
        <v>33</v>
      </c>
      <c r="AB35" s="317" t="s">
        <v>33</v>
      </c>
      <c r="AC35" s="317" t="s">
        <v>33</v>
      </c>
      <c r="AD35" s="317" t="s">
        <v>33</v>
      </c>
      <c r="AE35" s="317" t="s">
        <v>33</v>
      </c>
      <c r="AF35" s="317" t="s">
        <v>33</v>
      </c>
      <c r="AG35" s="317" t="s">
        <v>33</v>
      </c>
      <c r="AH35" s="317" t="s">
        <v>33</v>
      </c>
      <c r="AI35" s="317" t="s">
        <v>33</v>
      </c>
      <c r="AJ35" s="317" t="s">
        <v>33</v>
      </c>
      <c r="AK35" s="317" t="s">
        <v>33</v>
      </c>
      <c r="AL35" s="317" t="s">
        <v>33</v>
      </c>
      <c r="AM35" s="317" t="s">
        <v>33</v>
      </c>
      <c r="AN35" s="317" t="s">
        <v>33</v>
      </c>
    </row>
    <row r="36" spans="1:40" s="129" customFormat="1" outlineLevel="1" x14ac:dyDescent="0.25">
      <c r="A36" s="13" t="s">
        <v>618</v>
      </c>
      <c r="B36" s="210" t="s">
        <v>621</v>
      </c>
      <c r="C36" s="201" t="s">
        <v>1360</v>
      </c>
      <c r="D36" s="317" t="s">
        <v>33</v>
      </c>
      <c r="E36" s="317" t="s">
        <v>33</v>
      </c>
      <c r="F36" s="317" t="s">
        <v>33</v>
      </c>
      <c r="G36" s="317" t="s">
        <v>33</v>
      </c>
      <c r="H36" s="317" t="s">
        <v>33</v>
      </c>
      <c r="I36" s="317" t="s">
        <v>33</v>
      </c>
      <c r="J36" s="317" t="s">
        <v>33</v>
      </c>
      <c r="K36" s="317" t="s">
        <v>33</v>
      </c>
      <c r="L36" s="317" t="s">
        <v>33</v>
      </c>
      <c r="M36" s="317" t="s">
        <v>33</v>
      </c>
      <c r="N36" s="317" t="s">
        <v>33</v>
      </c>
      <c r="O36" s="317" t="s">
        <v>33</v>
      </c>
      <c r="P36" s="317" t="s">
        <v>33</v>
      </c>
      <c r="Q36" s="317" t="s">
        <v>33</v>
      </c>
      <c r="R36" s="317" t="s">
        <v>33</v>
      </c>
      <c r="S36" s="317" t="s">
        <v>33</v>
      </c>
      <c r="T36" s="317" t="s">
        <v>33</v>
      </c>
      <c r="U36" s="317" t="s">
        <v>33</v>
      </c>
      <c r="V36" s="317" t="s">
        <v>33</v>
      </c>
      <c r="W36" s="317" t="s">
        <v>33</v>
      </c>
      <c r="X36" s="317" t="s">
        <v>33</v>
      </c>
      <c r="Y36" s="317" t="s">
        <v>33</v>
      </c>
      <c r="Z36" s="190" t="str">
        <f>Ф4!BI36</f>
        <v>нд</v>
      </c>
      <c r="AA36" s="128" t="str">
        <f>Ф4!BB36</f>
        <v>нд</v>
      </c>
      <c r="AB36" s="128" t="str">
        <f>Ф4!BC36</f>
        <v>нд</v>
      </c>
      <c r="AC36" s="128" t="str">
        <f>Ф4!BD36</f>
        <v>нд</v>
      </c>
      <c r="AD36" s="128" t="str">
        <f>Ф4!BE36</f>
        <v>нд</v>
      </c>
      <c r="AE36" s="190" t="str">
        <f>Ф4!BN36</f>
        <v>нд</v>
      </c>
      <c r="AF36" s="229" t="str">
        <f>Ф4!BG36</f>
        <v>нд</v>
      </c>
      <c r="AG36" s="317" t="s">
        <v>33</v>
      </c>
      <c r="AH36" s="190" t="str">
        <f>Z36</f>
        <v>нд</v>
      </c>
      <c r="AI36" s="317" t="s">
        <v>33</v>
      </c>
      <c r="AJ36" s="317" t="s">
        <v>33</v>
      </c>
      <c r="AK36" s="317" t="s">
        <v>33</v>
      </c>
      <c r="AL36" s="317" t="s">
        <v>33</v>
      </c>
      <c r="AM36" s="192" t="str">
        <f>AE36</f>
        <v>нд</v>
      </c>
      <c r="AN36" s="328" t="s">
        <v>33</v>
      </c>
    </row>
    <row r="37" spans="1:40" s="129" customFormat="1" ht="31.5" outlineLevel="1" x14ac:dyDescent="0.25">
      <c r="A37" s="13" t="s">
        <v>619</v>
      </c>
      <c r="B37" s="210" t="s">
        <v>1334</v>
      </c>
      <c r="C37" s="201" t="s">
        <v>1341</v>
      </c>
      <c r="D37" s="317" t="s">
        <v>33</v>
      </c>
      <c r="E37" s="317" t="s">
        <v>33</v>
      </c>
      <c r="F37" s="317" t="s">
        <v>33</v>
      </c>
      <c r="G37" s="317" t="s">
        <v>33</v>
      </c>
      <c r="H37" s="317" t="s">
        <v>33</v>
      </c>
      <c r="I37" s="317" t="s">
        <v>33</v>
      </c>
      <c r="J37" s="317" t="s">
        <v>33</v>
      </c>
      <c r="K37" s="317" t="s">
        <v>33</v>
      </c>
      <c r="L37" s="317" t="s">
        <v>33</v>
      </c>
      <c r="M37" s="317" t="s">
        <v>33</v>
      </c>
      <c r="N37" s="317" t="s">
        <v>33</v>
      </c>
      <c r="O37" s="317" t="s">
        <v>33</v>
      </c>
      <c r="P37" s="317" t="s">
        <v>33</v>
      </c>
      <c r="Q37" s="317" t="s">
        <v>33</v>
      </c>
      <c r="R37" s="317" t="s">
        <v>33</v>
      </c>
      <c r="S37" s="317" t="s">
        <v>33</v>
      </c>
      <c r="T37" s="317" t="s">
        <v>33</v>
      </c>
      <c r="U37" s="317" t="s">
        <v>33</v>
      </c>
      <c r="V37" s="317" t="s">
        <v>33</v>
      </c>
      <c r="W37" s="317" t="s">
        <v>33</v>
      </c>
      <c r="X37" s="317" t="s">
        <v>33</v>
      </c>
      <c r="Y37" s="317" t="s">
        <v>33</v>
      </c>
      <c r="Z37" s="516">
        <f>Ф4!BI37</f>
        <v>1.0805480000000001</v>
      </c>
      <c r="AA37" s="516" t="str">
        <f>Ф4!BB37</f>
        <v>нд</v>
      </c>
      <c r="AB37" s="516" t="str">
        <f>Ф4!BC37</f>
        <v>нд</v>
      </c>
      <c r="AC37" s="516" t="str">
        <f>Ф4!BD37</f>
        <v>нд</v>
      </c>
      <c r="AD37" s="516" t="str">
        <f>Ф4!BE37</f>
        <v>нд</v>
      </c>
      <c r="AE37" s="518">
        <v>1</v>
      </c>
      <c r="AF37" s="518" t="str">
        <f>Ф4!BG37</f>
        <v>нд</v>
      </c>
      <c r="AG37" s="517" t="s">
        <v>33</v>
      </c>
      <c r="AH37" s="516">
        <f>Z37</f>
        <v>1.0805480000000001</v>
      </c>
      <c r="AI37" s="517" t="s">
        <v>33</v>
      </c>
      <c r="AJ37" s="517" t="s">
        <v>33</v>
      </c>
      <c r="AK37" s="517" t="s">
        <v>33</v>
      </c>
      <c r="AL37" s="517" t="s">
        <v>33</v>
      </c>
      <c r="AM37" s="519">
        <f>AE37</f>
        <v>1</v>
      </c>
      <c r="AN37" s="520" t="s">
        <v>33</v>
      </c>
    </row>
    <row r="38" spans="1:40" s="129" customFormat="1" outlineLevel="1" x14ac:dyDescent="0.25">
      <c r="A38" s="13" t="s">
        <v>620</v>
      </c>
      <c r="B38" s="210" t="s">
        <v>621</v>
      </c>
      <c r="C38" s="201" t="s">
        <v>644</v>
      </c>
      <c r="D38" s="317" t="s">
        <v>33</v>
      </c>
      <c r="E38" s="317" t="s">
        <v>33</v>
      </c>
      <c r="F38" s="317" t="s">
        <v>33</v>
      </c>
      <c r="G38" s="317" t="s">
        <v>33</v>
      </c>
      <c r="H38" s="317" t="s">
        <v>33</v>
      </c>
      <c r="I38" s="317" t="s">
        <v>33</v>
      </c>
      <c r="J38" s="317" t="s">
        <v>33</v>
      </c>
      <c r="K38" s="317" t="s">
        <v>33</v>
      </c>
      <c r="L38" s="317" t="s">
        <v>33</v>
      </c>
      <c r="M38" s="317" t="s">
        <v>33</v>
      </c>
      <c r="N38" s="317" t="s">
        <v>33</v>
      </c>
      <c r="O38" s="317" t="s">
        <v>33</v>
      </c>
      <c r="P38" s="317" t="s">
        <v>33</v>
      </c>
      <c r="Q38" s="317" t="s">
        <v>33</v>
      </c>
      <c r="R38" s="317" t="s">
        <v>33</v>
      </c>
      <c r="S38" s="317" t="s">
        <v>33</v>
      </c>
      <c r="T38" s="317" t="s">
        <v>33</v>
      </c>
      <c r="U38" s="317" t="s">
        <v>33</v>
      </c>
      <c r="V38" s="317" t="s">
        <v>33</v>
      </c>
      <c r="W38" s="317" t="s">
        <v>33</v>
      </c>
      <c r="X38" s="317" t="s">
        <v>33</v>
      </c>
      <c r="Y38" s="317" t="s">
        <v>33</v>
      </c>
      <c r="Z38" s="317" t="s">
        <v>33</v>
      </c>
      <c r="AA38" s="317" t="s">
        <v>33</v>
      </c>
      <c r="AB38" s="317" t="s">
        <v>33</v>
      </c>
      <c r="AC38" s="317" t="s">
        <v>33</v>
      </c>
      <c r="AD38" s="317" t="s">
        <v>33</v>
      </c>
      <c r="AE38" s="317" t="s">
        <v>33</v>
      </c>
      <c r="AF38" s="317" t="s">
        <v>33</v>
      </c>
      <c r="AG38" s="317" t="s">
        <v>33</v>
      </c>
      <c r="AH38" s="317" t="s">
        <v>33</v>
      </c>
      <c r="AI38" s="317" t="s">
        <v>33</v>
      </c>
      <c r="AJ38" s="317" t="s">
        <v>33</v>
      </c>
      <c r="AK38" s="317" t="s">
        <v>33</v>
      </c>
      <c r="AL38" s="317" t="s">
        <v>33</v>
      </c>
      <c r="AM38" s="317" t="s">
        <v>33</v>
      </c>
      <c r="AN38" s="317" t="s">
        <v>33</v>
      </c>
    </row>
    <row r="39" spans="1:40" s="129" customFormat="1" outlineLevel="1" x14ac:dyDescent="0.25">
      <c r="A39" s="13" t="s">
        <v>1339</v>
      </c>
      <c r="B39" s="210" t="s">
        <v>621</v>
      </c>
      <c r="C39" s="201" t="s">
        <v>645</v>
      </c>
      <c r="D39" s="317" t="s">
        <v>33</v>
      </c>
      <c r="E39" s="317" t="s">
        <v>33</v>
      </c>
      <c r="F39" s="317" t="s">
        <v>33</v>
      </c>
      <c r="G39" s="317" t="s">
        <v>33</v>
      </c>
      <c r="H39" s="317" t="s">
        <v>33</v>
      </c>
      <c r="I39" s="317" t="s">
        <v>33</v>
      </c>
      <c r="J39" s="317" t="s">
        <v>33</v>
      </c>
      <c r="K39" s="317" t="s">
        <v>33</v>
      </c>
      <c r="L39" s="317" t="s">
        <v>33</v>
      </c>
      <c r="M39" s="317" t="s">
        <v>33</v>
      </c>
      <c r="N39" s="317" t="s">
        <v>33</v>
      </c>
      <c r="O39" s="317" t="s">
        <v>33</v>
      </c>
      <c r="P39" s="317" t="s">
        <v>33</v>
      </c>
      <c r="Q39" s="317" t="s">
        <v>33</v>
      </c>
      <c r="R39" s="317" t="s">
        <v>33</v>
      </c>
      <c r="S39" s="317" t="s">
        <v>33</v>
      </c>
      <c r="T39" s="317" t="s">
        <v>33</v>
      </c>
      <c r="U39" s="317" t="s">
        <v>33</v>
      </c>
      <c r="V39" s="317" t="s">
        <v>33</v>
      </c>
      <c r="W39" s="317" t="s">
        <v>33</v>
      </c>
      <c r="X39" s="317" t="s">
        <v>33</v>
      </c>
      <c r="Y39" s="317" t="s">
        <v>33</v>
      </c>
      <c r="Z39" s="317" t="s">
        <v>33</v>
      </c>
      <c r="AA39" s="317" t="s">
        <v>33</v>
      </c>
      <c r="AB39" s="317" t="s">
        <v>33</v>
      </c>
      <c r="AC39" s="317" t="s">
        <v>33</v>
      </c>
      <c r="AD39" s="317" t="s">
        <v>33</v>
      </c>
      <c r="AE39" s="317" t="s">
        <v>33</v>
      </c>
      <c r="AF39" s="317" t="s">
        <v>33</v>
      </c>
      <c r="AG39" s="317" t="s">
        <v>33</v>
      </c>
      <c r="AH39" s="317" t="s">
        <v>33</v>
      </c>
      <c r="AI39" s="317" t="s">
        <v>33</v>
      </c>
      <c r="AJ39" s="317" t="s">
        <v>33</v>
      </c>
      <c r="AK39" s="317" t="s">
        <v>33</v>
      </c>
      <c r="AL39" s="317" t="s">
        <v>33</v>
      </c>
      <c r="AM39" s="317" t="s">
        <v>33</v>
      </c>
      <c r="AN39" s="317" t="s">
        <v>33</v>
      </c>
    </row>
    <row r="40" spans="1:40" s="178" customFormat="1" x14ac:dyDescent="0.25">
      <c r="A40" s="18" t="s">
        <v>466</v>
      </c>
      <c r="B40" s="168" t="s">
        <v>467</v>
      </c>
      <c r="C40" s="320" t="s">
        <v>33</v>
      </c>
      <c r="D40" s="320" t="s">
        <v>33</v>
      </c>
      <c r="E40" s="320" t="s">
        <v>33</v>
      </c>
      <c r="F40" s="320" t="s">
        <v>33</v>
      </c>
      <c r="G40" s="320" t="s">
        <v>33</v>
      </c>
      <c r="H40" s="320" t="s">
        <v>33</v>
      </c>
      <c r="I40" s="320" t="s">
        <v>33</v>
      </c>
      <c r="J40" s="320" t="s">
        <v>33</v>
      </c>
      <c r="K40" s="320" t="s">
        <v>33</v>
      </c>
      <c r="L40" s="320" t="s">
        <v>33</v>
      </c>
      <c r="M40" s="320" t="s">
        <v>33</v>
      </c>
      <c r="N40" s="320" t="s">
        <v>33</v>
      </c>
      <c r="O40" s="320" t="s">
        <v>33</v>
      </c>
      <c r="P40" s="320" t="s">
        <v>33</v>
      </c>
      <c r="Q40" s="320" t="s">
        <v>33</v>
      </c>
      <c r="R40" s="320" t="s">
        <v>33</v>
      </c>
      <c r="S40" s="320" t="s">
        <v>33</v>
      </c>
      <c r="T40" s="320" t="s">
        <v>33</v>
      </c>
      <c r="U40" s="320" t="s">
        <v>33</v>
      </c>
      <c r="V40" s="320" t="s">
        <v>33</v>
      </c>
      <c r="W40" s="320" t="s">
        <v>33</v>
      </c>
      <c r="X40" s="320" t="s">
        <v>33</v>
      </c>
      <c r="Y40" s="320" t="s">
        <v>33</v>
      </c>
      <c r="Z40" s="323">
        <f t="shared" ref="Z40:AN40" si="28">SUM(Z41:Z43)</f>
        <v>9.2739387999999998</v>
      </c>
      <c r="AA40" s="324" t="str">
        <f>AA41</f>
        <v>нд</v>
      </c>
      <c r="AB40" s="324" t="str">
        <f t="shared" ref="AB40:AI40" si="29">AB41</f>
        <v>нд</v>
      </c>
      <c r="AC40" s="324" t="str">
        <f t="shared" si="29"/>
        <v>нд</v>
      </c>
      <c r="AD40" s="324" t="str">
        <f t="shared" si="29"/>
        <v>нд</v>
      </c>
      <c r="AE40" s="324" t="str">
        <f t="shared" si="29"/>
        <v>нд</v>
      </c>
      <c r="AF40" s="177">
        <f t="shared" si="28"/>
        <v>2</v>
      </c>
      <c r="AG40" s="324" t="str">
        <f t="shared" si="29"/>
        <v>нд</v>
      </c>
      <c r="AH40" s="321">
        <f t="shared" si="28"/>
        <v>9.2739387999999998</v>
      </c>
      <c r="AI40" s="324" t="str">
        <f t="shared" si="29"/>
        <v>нд</v>
      </c>
      <c r="AJ40" s="324" t="str">
        <f t="shared" ref="AJ40" si="30">AJ41</f>
        <v>нд</v>
      </c>
      <c r="AK40" s="324" t="str">
        <f t="shared" ref="AK40" si="31">AK41</f>
        <v>нд</v>
      </c>
      <c r="AL40" s="324" t="str">
        <f t="shared" ref="AL40" si="32">AL41</f>
        <v>нд</v>
      </c>
      <c r="AM40" s="324" t="str">
        <f t="shared" ref="AM40" si="33">AM41</f>
        <v>нд</v>
      </c>
      <c r="AN40" s="184">
        <f t="shared" si="28"/>
        <v>2</v>
      </c>
    </row>
    <row r="41" spans="1:40" s="189" customFormat="1" x14ac:dyDescent="0.25">
      <c r="A41" s="187" t="s">
        <v>468</v>
      </c>
      <c r="B41" s="399" t="s">
        <v>623</v>
      </c>
      <c r="C41" s="201" t="s">
        <v>1352</v>
      </c>
      <c r="D41" s="316" t="s">
        <v>33</v>
      </c>
      <c r="E41" s="316" t="s">
        <v>33</v>
      </c>
      <c r="F41" s="316" t="s">
        <v>33</v>
      </c>
      <c r="G41" s="316" t="s">
        <v>33</v>
      </c>
      <c r="H41" s="316" t="s">
        <v>33</v>
      </c>
      <c r="I41" s="316" t="s">
        <v>33</v>
      </c>
      <c r="J41" s="316" t="s">
        <v>33</v>
      </c>
      <c r="K41" s="316" t="s">
        <v>33</v>
      </c>
      <c r="L41" s="316" t="s">
        <v>33</v>
      </c>
      <c r="M41" s="316" t="s">
        <v>33</v>
      </c>
      <c r="N41" s="316" t="s">
        <v>33</v>
      </c>
      <c r="O41" s="316" t="s">
        <v>33</v>
      </c>
      <c r="P41" s="316" t="s">
        <v>33</v>
      </c>
      <c r="Q41" s="316" t="s">
        <v>33</v>
      </c>
      <c r="R41" s="316" t="s">
        <v>33</v>
      </c>
      <c r="S41" s="316" t="s">
        <v>33</v>
      </c>
      <c r="T41" s="316" t="s">
        <v>33</v>
      </c>
      <c r="U41" s="316" t="s">
        <v>33</v>
      </c>
      <c r="V41" s="316" t="s">
        <v>33</v>
      </c>
      <c r="W41" s="316" t="s">
        <v>33</v>
      </c>
      <c r="X41" s="316" t="s">
        <v>33</v>
      </c>
      <c r="Y41" s="316" t="s">
        <v>33</v>
      </c>
      <c r="Z41" s="516">
        <f>Ф4!BI41</f>
        <v>5.8841887999999996</v>
      </c>
      <c r="AA41" s="521" t="str">
        <f>Ф4!BB41</f>
        <v>нд</v>
      </c>
      <c r="AB41" s="521" t="str">
        <f>Ф4!BC41</f>
        <v>нд</v>
      </c>
      <c r="AC41" s="521" t="str">
        <f>Ф4!BD41</f>
        <v>нд</v>
      </c>
      <c r="AD41" s="521" t="str">
        <f>Ф4!BE41</f>
        <v>нд</v>
      </c>
      <c r="AE41" s="521" t="str">
        <f>Ф4!BF41</f>
        <v>нд</v>
      </c>
      <c r="AF41" s="522">
        <f>Ф4!BG41</f>
        <v>1</v>
      </c>
      <c r="AG41" s="521" t="str">
        <f>Ф4!BH41</f>
        <v>нд</v>
      </c>
      <c r="AH41" s="523">
        <f>Z41</f>
        <v>5.8841887999999996</v>
      </c>
      <c r="AI41" s="521" t="str">
        <f>Ф4!BJ41</f>
        <v>нд</v>
      </c>
      <c r="AJ41" s="521" t="str">
        <f>Ф4!BK41</f>
        <v>нд</v>
      </c>
      <c r="AK41" s="521" t="str">
        <f>Ф4!BL41</f>
        <v>нд</v>
      </c>
      <c r="AL41" s="521" t="str">
        <f>Ф4!BM41</f>
        <v>нд</v>
      </c>
      <c r="AM41" s="521" t="str">
        <f>Ф4!BN41</f>
        <v>нд</v>
      </c>
      <c r="AN41" s="524">
        <f>AF41</f>
        <v>1</v>
      </c>
    </row>
    <row r="42" spans="1:40" s="189" customFormat="1" x14ac:dyDescent="0.25">
      <c r="A42" s="187" t="s">
        <v>622</v>
      </c>
      <c r="B42" s="237" t="s">
        <v>1337</v>
      </c>
      <c r="C42" s="201" t="s">
        <v>1353</v>
      </c>
      <c r="D42" s="316" t="s">
        <v>33</v>
      </c>
      <c r="E42" s="316" t="s">
        <v>33</v>
      </c>
      <c r="F42" s="316" t="s">
        <v>33</v>
      </c>
      <c r="G42" s="316" t="s">
        <v>33</v>
      </c>
      <c r="H42" s="316" t="s">
        <v>33</v>
      </c>
      <c r="I42" s="316" t="s">
        <v>33</v>
      </c>
      <c r="J42" s="316" t="s">
        <v>33</v>
      </c>
      <c r="K42" s="316" t="s">
        <v>33</v>
      </c>
      <c r="L42" s="316" t="s">
        <v>33</v>
      </c>
      <c r="M42" s="316" t="s">
        <v>33</v>
      </c>
      <c r="N42" s="316" t="s">
        <v>33</v>
      </c>
      <c r="O42" s="316" t="s">
        <v>33</v>
      </c>
      <c r="P42" s="316" t="s">
        <v>33</v>
      </c>
      <c r="Q42" s="316" t="s">
        <v>33</v>
      </c>
      <c r="R42" s="316" t="s">
        <v>33</v>
      </c>
      <c r="S42" s="316" t="s">
        <v>33</v>
      </c>
      <c r="T42" s="316" t="s">
        <v>33</v>
      </c>
      <c r="U42" s="316" t="s">
        <v>33</v>
      </c>
      <c r="V42" s="316" t="s">
        <v>33</v>
      </c>
      <c r="W42" s="316" t="s">
        <v>33</v>
      </c>
      <c r="X42" s="316" t="s">
        <v>33</v>
      </c>
      <c r="Y42" s="316" t="s">
        <v>33</v>
      </c>
      <c r="Z42" s="516">
        <f>Ф4!BI42</f>
        <v>3.3897499999999998</v>
      </c>
      <c r="AA42" s="521" t="str">
        <f>Ф4!BB42</f>
        <v>нд</v>
      </c>
      <c r="AB42" s="521" t="str">
        <f>Ф4!BC42</f>
        <v>нд</v>
      </c>
      <c r="AC42" s="521" t="str">
        <f>Ф4!BD42</f>
        <v>нд</v>
      </c>
      <c r="AD42" s="521" t="str">
        <f>Ф4!BE42</f>
        <v>нд</v>
      </c>
      <c r="AE42" s="521" t="str">
        <f>Ф4!BF42</f>
        <v>нд</v>
      </c>
      <c r="AF42" s="522">
        <v>1</v>
      </c>
      <c r="AG42" s="521" t="str">
        <f>Ф4!BH42</f>
        <v>нд</v>
      </c>
      <c r="AH42" s="523">
        <f t="shared" ref="AH42:AH43" si="34">Z42</f>
        <v>3.3897499999999998</v>
      </c>
      <c r="AI42" s="521" t="str">
        <f>Ф4!BJ42</f>
        <v>нд</v>
      </c>
      <c r="AJ42" s="521" t="str">
        <f>Ф4!BK42</f>
        <v>нд</v>
      </c>
      <c r="AK42" s="521" t="str">
        <f>Ф4!BL42</f>
        <v>нд</v>
      </c>
      <c r="AL42" s="521" t="str">
        <f>Ф4!BM42</f>
        <v>нд</v>
      </c>
      <c r="AM42" s="521" t="str">
        <f>Ф4!BN42</f>
        <v>нд</v>
      </c>
      <c r="AN42" s="524">
        <f t="shared" ref="AN42:AN43" si="35">AF42</f>
        <v>1</v>
      </c>
    </row>
    <row r="43" spans="1:40" s="189" customFormat="1" x14ac:dyDescent="0.25">
      <c r="A43" s="187" t="s">
        <v>1335</v>
      </c>
      <c r="B43" s="399" t="s">
        <v>624</v>
      </c>
      <c r="C43" s="201" t="s">
        <v>646</v>
      </c>
      <c r="D43" s="316" t="s">
        <v>33</v>
      </c>
      <c r="E43" s="316" t="s">
        <v>33</v>
      </c>
      <c r="F43" s="316" t="s">
        <v>33</v>
      </c>
      <c r="G43" s="316" t="s">
        <v>33</v>
      </c>
      <c r="H43" s="316" t="s">
        <v>33</v>
      </c>
      <c r="I43" s="316" t="s">
        <v>33</v>
      </c>
      <c r="J43" s="316" t="s">
        <v>33</v>
      </c>
      <c r="K43" s="316" t="s">
        <v>33</v>
      </c>
      <c r="L43" s="316" t="s">
        <v>33</v>
      </c>
      <c r="M43" s="316" t="s">
        <v>33</v>
      </c>
      <c r="N43" s="316" t="s">
        <v>33</v>
      </c>
      <c r="O43" s="316" t="s">
        <v>33</v>
      </c>
      <c r="P43" s="316" t="s">
        <v>33</v>
      </c>
      <c r="Q43" s="316" t="s">
        <v>33</v>
      </c>
      <c r="R43" s="316" t="s">
        <v>33</v>
      </c>
      <c r="S43" s="316" t="s">
        <v>33</v>
      </c>
      <c r="T43" s="316" t="s">
        <v>33</v>
      </c>
      <c r="U43" s="316" t="s">
        <v>33</v>
      </c>
      <c r="V43" s="316" t="s">
        <v>33</v>
      </c>
      <c r="W43" s="316" t="s">
        <v>33</v>
      </c>
      <c r="X43" s="316" t="s">
        <v>33</v>
      </c>
      <c r="Y43" s="316" t="s">
        <v>33</v>
      </c>
      <c r="Z43" s="190" t="str">
        <f>Ф4!BI43</f>
        <v>нд</v>
      </c>
      <c r="AA43" s="316" t="str">
        <f>Ф4!BB43</f>
        <v>нд</v>
      </c>
      <c r="AB43" s="316" t="str">
        <f>Ф4!BC43</f>
        <v>нд</v>
      </c>
      <c r="AC43" s="316" t="str">
        <f>Ф4!BD43</f>
        <v>нд</v>
      </c>
      <c r="AD43" s="316" t="str">
        <f>Ф4!BE43</f>
        <v>нд</v>
      </c>
      <c r="AE43" s="316" t="str">
        <f>Ф4!BF43</f>
        <v>нд</v>
      </c>
      <c r="AF43" s="193" t="str">
        <f>Ф4!BG43</f>
        <v>нд</v>
      </c>
      <c r="AG43" s="316" t="str">
        <f>Ф4!BH43</f>
        <v>нд</v>
      </c>
      <c r="AH43" s="322" t="str">
        <f t="shared" si="34"/>
        <v>нд</v>
      </c>
      <c r="AI43" s="316" t="str">
        <f>Ф4!BJ43</f>
        <v>нд</v>
      </c>
      <c r="AJ43" s="316" t="str">
        <f>Ф4!BK43</f>
        <v>нд</v>
      </c>
      <c r="AK43" s="316" t="str">
        <f>Ф4!BL43</f>
        <v>нд</v>
      </c>
      <c r="AL43" s="316" t="str">
        <f>Ф4!BM43</f>
        <v>нд</v>
      </c>
      <c r="AM43" s="316" t="str">
        <f>Ф4!BN43</f>
        <v>нд</v>
      </c>
      <c r="AN43" s="325" t="str">
        <f t="shared" si="35"/>
        <v>нд</v>
      </c>
    </row>
    <row r="46" spans="1:40" ht="18.75" x14ac:dyDescent="0.25">
      <c r="B46" s="170" t="s">
        <v>52</v>
      </c>
      <c r="C46" s="171"/>
      <c r="D46" s="171"/>
      <c r="E46" s="171" t="s">
        <v>1325</v>
      </c>
    </row>
    <row r="47" spans="1:40" ht="18.75" x14ac:dyDescent="0.25">
      <c r="B47" s="170"/>
      <c r="C47" s="171"/>
      <c r="D47" s="171"/>
      <c r="E47" s="171"/>
    </row>
    <row r="48" spans="1:40" ht="18.75" x14ac:dyDescent="0.25">
      <c r="B48" s="170"/>
      <c r="C48" s="171"/>
      <c r="D48" s="171"/>
      <c r="E48" s="171"/>
    </row>
    <row r="51" spans="1:34" s="30" customFormat="1" x14ac:dyDescent="0.25">
      <c r="A51" s="633" t="s">
        <v>156</v>
      </c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87"/>
      <c r="R51" s="214"/>
      <c r="S51" s="214"/>
      <c r="T51" s="214"/>
      <c r="U51" s="214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1:34" s="30" customFormat="1" x14ac:dyDescent="0.25">
      <c r="A52" s="616" t="s">
        <v>157</v>
      </c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89"/>
      <c r="R52" s="213"/>
      <c r="S52" s="213"/>
      <c r="T52" s="213"/>
      <c r="U52" s="213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1:34" s="30" customFormat="1" x14ac:dyDescent="0.25">
      <c r="A53" s="616" t="s">
        <v>158</v>
      </c>
      <c r="B53" s="616"/>
      <c r="C53" s="616"/>
      <c r="D53" s="616"/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89"/>
      <c r="R53" s="213"/>
      <c r="S53" s="213"/>
      <c r="T53" s="213"/>
      <c r="U53" s="213"/>
      <c r="Y53" s="88"/>
      <c r="Z53" s="88"/>
      <c r="AA53" s="88"/>
      <c r="AB53" s="88"/>
      <c r="AC53" s="88"/>
      <c r="AD53" s="88"/>
      <c r="AE53" s="88"/>
      <c r="AF53" s="88"/>
      <c r="AG53" s="88"/>
      <c r="AH53" s="88"/>
    </row>
    <row r="54" spans="1:34" s="30" customFormat="1" x14ac:dyDescent="0.25">
      <c r="A54" s="616" t="s">
        <v>159</v>
      </c>
      <c r="B54" s="616"/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89"/>
      <c r="R54" s="213"/>
      <c r="S54" s="213"/>
      <c r="T54" s="213"/>
      <c r="U54" s="213"/>
      <c r="Y54" s="88"/>
      <c r="Z54" s="88"/>
      <c r="AA54" s="88"/>
      <c r="AB54" s="88"/>
      <c r="AC54" s="88"/>
      <c r="AD54" s="88"/>
      <c r="AE54" s="88"/>
      <c r="AF54" s="88"/>
      <c r="AG54" s="88"/>
      <c r="AH54" s="88"/>
    </row>
  </sheetData>
  <mergeCells count="25">
    <mergeCell ref="A1:AN1"/>
    <mergeCell ref="A2:AN2"/>
    <mergeCell ref="A4:AN4"/>
    <mergeCell ref="A5:AN5"/>
    <mergeCell ref="A7:AN7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51:P51"/>
    <mergeCell ref="A52:P52"/>
    <mergeCell ref="A53:P53"/>
    <mergeCell ref="A54:P54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N54"/>
  <sheetViews>
    <sheetView topLeftCell="A7" zoomScale="75" zoomScaleNormal="75" workbookViewId="0">
      <selection activeCell="AI19" sqref="AI19"/>
    </sheetView>
  </sheetViews>
  <sheetFormatPr defaultColWidth="8.85546875" defaultRowHeight="15.75" outlineLevelRow="1" x14ac:dyDescent="0.25"/>
  <cols>
    <col min="1" max="1" width="10" style="14" customWidth="1"/>
    <col min="2" max="2" width="75.42578125" customWidth="1"/>
    <col min="3" max="3" width="10.85546875" customWidth="1"/>
    <col min="4" max="4" width="9.7109375" customWidth="1"/>
    <col min="5" max="5" width="7" style="33" customWidth="1"/>
    <col min="6" max="6" width="5.42578125" style="33" customWidth="1"/>
    <col min="7" max="9" width="5.42578125" customWidth="1"/>
    <col min="10" max="10" width="5.42578125" style="35" customWidth="1"/>
    <col min="11" max="11" width="9.28515625" customWidth="1"/>
    <col min="12" max="12" width="6.42578125" customWidth="1"/>
    <col min="13" max="13" width="5.42578125" style="35" customWidth="1"/>
    <col min="14" max="17" width="5.42578125" customWidth="1"/>
    <col min="18" max="18" width="9.42578125" customWidth="1"/>
    <col min="19" max="19" width="6.7109375" customWidth="1"/>
    <col min="20" max="24" width="5.42578125" customWidth="1"/>
    <col min="25" max="25" width="9.85546875" customWidth="1"/>
    <col min="26" max="26" width="9.7109375" customWidth="1"/>
    <col min="27" max="27" width="8.7109375" bestFit="1" customWidth="1"/>
    <col min="28" max="28" width="5.5703125" customWidth="1"/>
    <col min="29" max="29" width="10" customWidth="1"/>
    <col min="30" max="30" width="6" customWidth="1"/>
    <col min="31" max="31" width="8.42578125" customWidth="1"/>
    <col min="32" max="32" width="6.85546875" bestFit="1" customWidth="1"/>
    <col min="33" max="33" width="9.42578125" customWidth="1"/>
    <col min="34" max="34" width="10.7109375" customWidth="1"/>
    <col min="35" max="35" width="8.7109375" customWidth="1"/>
    <col min="36" max="36" width="5.28515625" customWidth="1"/>
    <col min="37" max="37" width="8.7109375" customWidth="1"/>
    <col min="38" max="38" width="5.7109375" customWidth="1"/>
    <col min="39" max="39" width="6.7109375" customWidth="1"/>
    <col min="40" max="40" width="6.7109375" bestFit="1" customWidth="1"/>
  </cols>
  <sheetData>
    <row r="1" spans="1:40" s="30" customFormat="1" ht="18.75" x14ac:dyDescent="0.3">
      <c r="A1" s="653" t="s">
        <v>260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653"/>
      <c r="AK1" s="653"/>
      <c r="AL1" s="653"/>
      <c r="AM1" s="653"/>
      <c r="AN1" s="653"/>
    </row>
    <row r="2" spans="1:40" s="30" customFormat="1" ht="18.75" x14ac:dyDescent="0.3">
      <c r="A2" s="604" t="s">
        <v>678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  <c r="AF2" s="604"/>
      <c r="AG2" s="604"/>
      <c r="AH2" s="604"/>
      <c r="AI2" s="604"/>
      <c r="AJ2" s="604"/>
      <c r="AK2" s="604"/>
      <c r="AL2" s="604"/>
      <c r="AM2" s="604"/>
      <c r="AN2" s="604"/>
    </row>
    <row r="3" spans="1:40" s="30" customForma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</row>
    <row r="4" spans="1:40" s="30" customFormat="1" ht="18.75" x14ac:dyDescent="0.25">
      <c r="A4" s="599" t="s">
        <v>75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</row>
    <row r="5" spans="1:40" s="30" customFormat="1" x14ac:dyDescent="0.25">
      <c r="A5" s="605" t="s">
        <v>76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</row>
    <row r="6" spans="1:40" s="30" customFormat="1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</row>
    <row r="7" spans="1:40" s="30" customFormat="1" x14ac:dyDescent="0.25">
      <c r="A7" s="600" t="s">
        <v>1370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</row>
    <row r="8" spans="1:40" s="30" customFormat="1" ht="18.75" x14ac:dyDescent="0.3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</row>
    <row r="9" spans="1:40" s="30" customFormat="1" ht="18.75" x14ac:dyDescent="0.25">
      <c r="A9" s="108"/>
      <c r="B9" s="108"/>
      <c r="C9" s="108"/>
      <c r="D9" s="515" t="s">
        <v>1346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</row>
    <row r="10" spans="1:40" s="30" customFormat="1" x14ac:dyDescent="0.25">
      <c r="A10" s="648" t="s">
        <v>174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</row>
    <row r="11" spans="1:40" s="30" customFormat="1" x14ac:dyDescent="0.25">
      <c r="A11" s="652"/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</row>
    <row r="12" spans="1:40" s="30" customFormat="1" x14ac:dyDescent="0.25">
      <c r="A12" s="651" t="s">
        <v>3</v>
      </c>
      <c r="B12" s="651" t="s">
        <v>4</v>
      </c>
      <c r="C12" s="651" t="s">
        <v>5</v>
      </c>
      <c r="D12" s="650" t="s">
        <v>261</v>
      </c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</row>
    <row r="13" spans="1:40" s="30" customFormat="1" x14ac:dyDescent="0.25">
      <c r="A13" s="651"/>
      <c r="B13" s="651"/>
      <c r="C13" s="651"/>
      <c r="D13" s="650" t="s">
        <v>262</v>
      </c>
      <c r="E13" s="650"/>
      <c r="F13" s="650"/>
      <c r="G13" s="650"/>
      <c r="H13" s="650"/>
      <c r="I13" s="650"/>
      <c r="J13" s="650"/>
      <c r="K13" s="650" t="s">
        <v>263</v>
      </c>
      <c r="L13" s="650"/>
      <c r="M13" s="650"/>
      <c r="N13" s="650"/>
      <c r="O13" s="650"/>
      <c r="P13" s="650"/>
      <c r="Q13" s="650"/>
      <c r="R13" s="650" t="s">
        <v>264</v>
      </c>
      <c r="S13" s="650"/>
      <c r="T13" s="650"/>
      <c r="U13" s="650"/>
      <c r="V13" s="650"/>
      <c r="W13" s="650"/>
      <c r="X13" s="650"/>
      <c r="Y13" s="650" t="s">
        <v>265</v>
      </c>
      <c r="Z13" s="650"/>
      <c r="AA13" s="650"/>
      <c r="AB13" s="650"/>
      <c r="AC13" s="650"/>
      <c r="AD13" s="650"/>
      <c r="AE13" s="650"/>
      <c r="AF13" s="650"/>
      <c r="AG13" s="651" t="s">
        <v>266</v>
      </c>
      <c r="AH13" s="651"/>
      <c r="AI13" s="651"/>
      <c r="AJ13" s="651"/>
      <c r="AK13" s="651"/>
      <c r="AL13" s="651"/>
      <c r="AM13" s="651"/>
      <c r="AN13" s="651"/>
    </row>
    <row r="14" spans="1:40" s="30" customFormat="1" ht="46.5" customHeight="1" x14ac:dyDescent="0.25">
      <c r="A14" s="651"/>
      <c r="B14" s="651"/>
      <c r="C14" s="651"/>
      <c r="D14" s="218" t="s">
        <v>181</v>
      </c>
      <c r="E14" s="650" t="s">
        <v>182</v>
      </c>
      <c r="F14" s="650"/>
      <c r="G14" s="650"/>
      <c r="H14" s="650"/>
      <c r="I14" s="650"/>
      <c r="J14" s="650"/>
      <c r="K14" s="218" t="s">
        <v>181</v>
      </c>
      <c r="L14" s="651" t="s">
        <v>182</v>
      </c>
      <c r="M14" s="651"/>
      <c r="N14" s="651"/>
      <c r="O14" s="651"/>
      <c r="P14" s="651"/>
      <c r="Q14" s="651"/>
      <c r="R14" s="218" t="s">
        <v>181</v>
      </c>
      <c r="S14" s="651" t="s">
        <v>182</v>
      </c>
      <c r="T14" s="651"/>
      <c r="U14" s="651"/>
      <c r="V14" s="651"/>
      <c r="W14" s="651"/>
      <c r="X14" s="651"/>
      <c r="Y14" s="218" t="s">
        <v>181</v>
      </c>
      <c r="Z14" s="651" t="s">
        <v>182</v>
      </c>
      <c r="AA14" s="651"/>
      <c r="AB14" s="651"/>
      <c r="AC14" s="651"/>
      <c r="AD14" s="651"/>
      <c r="AE14" s="651"/>
      <c r="AF14" s="651"/>
      <c r="AG14" s="218" t="s">
        <v>181</v>
      </c>
      <c r="AH14" s="651" t="s">
        <v>182</v>
      </c>
      <c r="AI14" s="651"/>
      <c r="AJ14" s="651"/>
      <c r="AK14" s="651"/>
      <c r="AL14" s="651"/>
      <c r="AM14" s="651"/>
      <c r="AN14" s="651"/>
    </row>
    <row r="15" spans="1:40" s="30" customFormat="1" ht="120" x14ac:dyDescent="0.25">
      <c r="A15" s="651"/>
      <c r="B15" s="651"/>
      <c r="C15" s="651"/>
      <c r="D15" s="215" t="s">
        <v>183</v>
      </c>
      <c r="E15" s="215" t="s">
        <v>183</v>
      </c>
      <c r="F15" s="216" t="s">
        <v>184</v>
      </c>
      <c r="G15" s="216" t="s">
        <v>185</v>
      </c>
      <c r="H15" s="216" t="s">
        <v>186</v>
      </c>
      <c r="I15" s="216" t="s">
        <v>187</v>
      </c>
      <c r="J15" s="216" t="s">
        <v>188</v>
      </c>
      <c r="K15" s="215" t="s">
        <v>183</v>
      </c>
      <c r="L15" s="215" t="s">
        <v>183</v>
      </c>
      <c r="M15" s="216" t="s">
        <v>184</v>
      </c>
      <c r="N15" s="216" t="s">
        <v>185</v>
      </c>
      <c r="O15" s="216" t="s">
        <v>186</v>
      </c>
      <c r="P15" s="216" t="s">
        <v>187</v>
      </c>
      <c r="Q15" s="216" t="s">
        <v>188</v>
      </c>
      <c r="R15" s="215" t="s">
        <v>183</v>
      </c>
      <c r="S15" s="215" t="s">
        <v>183</v>
      </c>
      <c r="T15" s="216" t="s">
        <v>184</v>
      </c>
      <c r="U15" s="216" t="s">
        <v>185</v>
      </c>
      <c r="V15" s="216" t="s">
        <v>186</v>
      </c>
      <c r="W15" s="216" t="s">
        <v>187</v>
      </c>
      <c r="X15" s="216" t="s">
        <v>188</v>
      </c>
      <c r="Y15" s="215" t="s">
        <v>183</v>
      </c>
      <c r="Z15" s="215" t="s">
        <v>183</v>
      </c>
      <c r="AA15" s="216" t="s">
        <v>184</v>
      </c>
      <c r="AB15" s="216" t="s">
        <v>185</v>
      </c>
      <c r="AC15" s="216" t="s">
        <v>186</v>
      </c>
      <c r="AD15" s="216" t="s">
        <v>187</v>
      </c>
      <c r="AE15" s="216" t="s">
        <v>506</v>
      </c>
      <c r="AF15" s="216" t="s">
        <v>507</v>
      </c>
      <c r="AG15" s="215" t="s">
        <v>183</v>
      </c>
      <c r="AH15" s="215" t="s">
        <v>183</v>
      </c>
      <c r="AI15" s="216" t="s">
        <v>184</v>
      </c>
      <c r="AJ15" s="216" t="s">
        <v>185</v>
      </c>
      <c r="AK15" s="216" t="s">
        <v>186</v>
      </c>
      <c r="AL15" s="216" t="s">
        <v>187</v>
      </c>
      <c r="AM15" s="216" t="s">
        <v>506</v>
      </c>
      <c r="AN15" s="216" t="s">
        <v>507</v>
      </c>
    </row>
    <row r="16" spans="1:40" s="30" customFormat="1" x14ac:dyDescent="0.25">
      <c r="A16" s="217">
        <v>1</v>
      </c>
      <c r="B16" s="217">
        <v>2</v>
      </c>
      <c r="C16" s="217">
        <v>3</v>
      </c>
      <c r="D16" s="116" t="s">
        <v>267</v>
      </c>
      <c r="E16" s="116" t="s">
        <v>268</v>
      </c>
      <c r="F16" s="116" t="s">
        <v>269</v>
      </c>
      <c r="G16" s="116" t="s">
        <v>270</v>
      </c>
      <c r="H16" s="116" t="s">
        <v>271</v>
      </c>
      <c r="I16" s="116" t="s">
        <v>272</v>
      </c>
      <c r="J16" s="116" t="s">
        <v>273</v>
      </c>
      <c r="K16" s="116" t="s">
        <v>274</v>
      </c>
      <c r="L16" s="116" t="s">
        <v>275</v>
      </c>
      <c r="M16" s="116" t="s">
        <v>276</v>
      </c>
      <c r="N16" s="116" t="s">
        <v>277</v>
      </c>
      <c r="O16" s="116" t="s">
        <v>278</v>
      </c>
      <c r="P16" s="116" t="s">
        <v>279</v>
      </c>
      <c r="Q16" s="116" t="s">
        <v>280</v>
      </c>
      <c r="R16" s="116" t="s">
        <v>281</v>
      </c>
      <c r="S16" s="116" t="s">
        <v>282</v>
      </c>
      <c r="T16" s="116" t="s">
        <v>283</v>
      </c>
      <c r="U16" s="116" t="s">
        <v>284</v>
      </c>
      <c r="V16" s="116" t="s">
        <v>285</v>
      </c>
      <c r="W16" s="116" t="s">
        <v>286</v>
      </c>
      <c r="X16" s="116" t="s">
        <v>287</v>
      </c>
      <c r="Y16" s="116" t="s">
        <v>288</v>
      </c>
      <c r="Z16" s="116" t="s">
        <v>289</v>
      </c>
      <c r="AA16" s="116" t="s">
        <v>290</v>
      </c>
      <c r="AB16" s="116" t="s">
        <v>291</v>
      </c>
      <c r="AC16" s="116" t="s">
        <v>292</v>
      </c>
      <c r="AD16" s="116" t="s">
        <v>293</v>
      </c>
      <c r="AE16" s="116"/>
      <c r="AF16" s="116" t="s">
        <v>294</v>
      </c>
      <c r="AG16" s="116" t="s">
        <v>295</v>
      </c>
      <c r="AH16" s="116" t="s">
        <v>296</v>
      </c>
      <c r="AI16" s="116" t="s">
        <v>297</v>
      </c>
      <c r="AJ16" s="116" t="s">
        <v>298</v>
      </c>
      <c r="AK16" s="116" t="s">
        <v>259</v>
      </c>
      <c r="AL16" s="116" t="s">
        <v>299</v>
      </c>
      <c r="AM16" s="116"/>
      <c r="AN16" s="116" t="s">
        <v>300</v>
      </c>
    </row>
    <row r="17" spans="1:40" s="120" customFormat="1" x14ac:dyDescent="0.25">
      <c r="A17" s="118" t="s">
        <v>31</v>
      </c>
      <c r="B17" s="38" t="s">
        <v>32</v>
      </c>
      <c r="C17" s="119" t="str">
        <f>C18</f>
        <v>нд</v>
      </c>
      <c r="D17" s="119" t="str">
        <f t="shared" ref="D17:Y17" si="0">D18</f>
        <v>нд</v>
      </c>
      <c r="E17" s="119" t="str">
        <f t="shared" si="0"/>
        <v>нд</v>
      </c>
      <c r="F17" s="119" t="str">
        <f t="shared" si="0"/>
        <v>нд</v>
      </c>
      <c r="G17" s="119" t="str">
        <f t="shared" si="0"/>
        <v>нд</v>
      </c>
      <c r="H17" s="119" t="str">
        <f t="shared" si="0"/>
        <v>нд</v>
      </c>
      <c r="I17" s="119" t="str">
        <f t="shared" si="0"/>
        <v>нд</v>
      </c>
      <c r="J17" s="119" t="str">
        <f t="shared" si="0"/>
        <v>нд</v>
      </c>
      <c r="K17" s="119" t="str">
        <f t="shared" si="0"/>
        <v>нд</v>
      </c>
      <c r="L17" s="119" t="str">
        <f t="shared" si="0"/>
        <v>нд</v>
      </c>
      <c r="M17" s="119" t="str">
        <f t="shared" si="0"/>
        <v>нд</v>
      </c>
      <c r="N17" s="119" t="str">
        <f t="shared" si="0"/>
        <v>нд</v>
      </c>
      <c r="O17" s="119" t="str">
        <f t="shared" si="0"/>
        <v>нд</v>
      </c>
      <c r="P17" s="119" t="str">
        <f t="shared" si="0"/>
        <v>нд</v>
      </c>
      <c r="Q17" s="119" t="str">
        <f t="shared" si="0"/>
        <v>нд</v>
      </c>
      <c r="R17" s="119" t="str">
        <f t="shared" si="0"/>
        <v>нд</v>
      </c>
      <c r="S17" s="119" t="str">
        <f t="shared" si="0"/>
        <v>нд</v>
      </c>
      <c r="T17" s="119" t="str">
        <f t="shared" si="0"/>
        <v>нд</v>
      </c>
      <c r="U17" s="119" t="str">
        <f t="shared" si="0"/>
        <v>нд</v>
      </c>
      <c r="V17" s="119" t="str">
        <f t="shared" si="0"/>
        <v>нд</v>
      </c>
      <c r="W17" s="119" t="str">
        <f t="shared" si="0"/>
        <v>нд</v>
      </c>
      <c r="X17" s="119" t="str">
        <f t="shared" si="0"/>
        <v>нд</v>
      </c>
      <c r="Y17" s="119" t="str">
        <f t="shared" si="0"/>
        <v>нд</v>
      </c>
      <c r="Z17" s="119">
        <f t="shared" ref="Z17:AN17" si="1">Z18</f>
        <v>17.384887256056416</v>
      </c>
      <c r="AA17" s="119">
        <f t="shared" si="1"/>
        <v>0.66</v>
      </c>
      <c r="AB17" s="119" t="str">
        <f t="shared" si="1"/>
        <v>нд</v>
      </c>
      <c r="AC17" s="119">
        <f t="shared" si="1"/>
        <v>2.0659999999999998</v>
      </c>
      <c r="AD17" s="119" t="str">
        <f t="shared" si="1"/>
        <v>нд</v>
      </c>
      <c r="AE17" s="182">
        <f t="shared" si="1"/>
        <v>201</v>
      </c>
      <c r="AF17" s="231">
        <f t="shared" si="1"/>
        <v>1</v>
      </c>
      <c r="AG17" s="119" t="str">
        <f t="shared" si="1"/>
        <v>нд</v>
      </c>
      <c r="AH17" s="119">
        <f t="shared" si="1"/>
        <v>17.384887256056416</v>
      </c>
      <c r="AI17" s="119">
        <f t="shared" si="1"/>
        <v>0.66</v>
      </c>
      <c r="AJ17" s="119" t="str">
        <f t="shared" si="1"/>
        <v>нд</v>
      </c>
      <c r="AK17" s="119">
        <f t="shared" si="1"/>
        <v>2.0659999999999998</v>
      </c>
      <c r="AL17" s="119" t="str">
        <f t="shared" si="1"/>
        <v>нд</v>
      </c>
      <c r="AM17" s="182">
        <f t="shared" si="1"/>
        <v>201</v>
      </c>
      <c r="AN17" s="231">
        <f t="shared" si="1"/>
        <v>1</v>
      </c>
    </row>
    <row r="18" spans="1:40" s="123" customFormat="1" x14ac:dyDescent="0.25">
      <c r="A18" s="121" t="s">
        <v>55</v>
      </c>
      <c r="B18" s="9" t="s">
        <v>34</v>
      </c>
      <c r="C18" s="122" t="s">
        <v>33</v>
      </c>
      <c r="D18" s="122" t="s">
        <v>33</v>
      </c>
      <c r="E18" s="122" t="s">
        <v>33</v>
      </c>
      <c r="F18" s="122" t="s">
        <v>33</v>
      </c>
      <c r="G18" s="122" t="s">
        <v>33</v>
      </c>
      <c r="H18" s="122" t="s">
        <v>33</v>
      </c>
      <c r="I18" s="122" t="s">
        <v>33</v>
      </c>
      <c r="J18" s="122" t="s">
        <v>33</v>
      </c>
      <c r="K18" s="122" t="s">
        <v>33</v>
      </c>
      <c r="L18" s="122" t="s">
        <v>33</v>
      </c>
      <c r="M18" s="122" t="s">
        <v>33</v>
      </c>
      <c r="N18" s="122" t="s">
        <v>33</v>
      </c>
      <c r="O18" s="122" t="s">
        <v>33</v>
      </c>
      <c r="P18" s="122" t="s">
        <v>33</v>
      </c>
      <c r="Q18" s="122" t="s">
        <v>33</v>
      </c>
      <c r="R18" s="122" t="s">
        <v>33</v>
      </c>
      <c r="S18" s="122" t="s">
        <v>33</v>
      </c>
      <c r="T18" s="122" t="s">
        <v>33</v>
      </c>
      <c r="U18" s="122" t="s">
        <v>33</v>
      </c>
      <c r="V18" s="122" t="s">
        <v>33</v>
      </c>
      <c r="W18" s="122" t="s">
        <v>33</v>
      </c>
      <c r="X18" s="122" t="s">
        <v>33</v>
      </c>
      <c r="Y18" s="122" t="s">
        <v>33</v>
      </c>
      <c r="Z18" s="122">
        <f>Z19+Z40</f>
        <v>17.384887256056416</v>
      </c>
      <c r="AA18" s="122">
        <f>AA19</f>
        <v>0.66</v>
      </c>
      <c r="AB18" s="122" t="s">
        <v>33</v>
      </c>
      <c r="AC18" s="122">
        <f>AC19</f>
        <v>2.0659999999999998</v>
      </c>
      <c r="AD18" s="122" t="str">
        <f t="shared" ref="AD18" si="2">AD19</f>
        <v>нд</v>
      </c>
      <c r="AE18" s="183">
        <f>AE19</f>
        <v>201</v>
      </c>
      <c r="AF18" s="232">
        <f>AF40</f>
        <v>1</v>
      </c>
      <c r="AG18" s="122" t="s">
        <v>33</v>
      </c>
      <c r="AH18" s="122">
        <f>AH19+AH40</f>
        <v>17.384887256056416</v>
      </c>
      <c r="AI18" s="122">
        <f>AI19</f>
        <v>0.66</v>
      </c>
      <c r="AJ18" s="122" t="s">
        <v>33</v>
      </c>
      <c r="AK18" s="122">
        <f>AK19</f>
        <v>2.0659999999999998</v>
      </c>
      <c r="AL18" s="122" t="s">
        <v>33</v>
      </c>
      <c r="AM18" s="183">
        <f>AM19</f>
        <v>201</v>
      </c>
      <c r="AN18" s="232">
        <f>AN40</f>
        <v>1</v>
      </c>
    </row>
    <row r="19" spans="1:40" s="120" customFormat="1" ht="31.5" x14ac:dyDescent="0.25">
      <c r="A19" s="118" t="s">
        <v>36</v>
      </c>
      <c r="B19" s="38" t="s">
        <v>37</v>
      </c>
      <c r="C19" s="119" t="s">
        <v>33</v>
      </c>
      <c r="D19" s="119" t="s">
        <v>33</v>
      </c>
      <c r="E19" s="119" t="s">
        <v>33</v>
      </c>
      <c r="F19" s="119" t="s">
        <v>33</v>
      </c>
      <c r="G19" s="119" t="s">
        <v>33</v>
      </c>
      <c r="H19" s="119" t="s">
        <v>33</v>
      </c>
      <c r="I19" s="119" t="s">
        <v>33</v>
      </c>
      <c r="J19" s="119" t="s">
        <v>33</v>
      </c>
      <c r="K19" s="119" t="s">
        <v>33</v>
      </c>
      <c r="L19" s="119" t="s">
        <v>33</v>
      </c>
      <c r="M19" s="119" t="s">
        <v>33</v>
      </c>
      <c r="N19" s="119" t="s">
        <v>33</v>
      </c>
      <c r="O19" s="119" t="s">
        <v>33</v>
      </c>
      <c r="P19" s="119" t="s">
        <v>33</v>
      </c>
      <c r="Q19" s="119" t="s">
        <v>33</v>
      </c>
      <c r="R19" s="119" t="s">
        <v>33</v>
      </c>
      <c r="S19" s="119" t="s">
        <v>33</v>
      </c>
      <c r="T19" s="119" t="s">
        <v>33</v>
      </c>
      <c r="U19" s="119" t="s">
        <v>33</v>
      </c>
      <c r="V19" s="119" t="s">
        <v>33</v>
      </c>
      <c r="W19" s="119" t="s">
        <v>33</v>
      </c>
      <c r="X19" s="119" t="s">
        <v>33</v>
      </c>
      <c r="Y19" s="119" t="s">
        <v>33</v>
      </c>
      <c r="Z19" s="119">
        <f>Z20+Z25+Z32</f>
        <v>12.37453815540389</v>
      </c>
      <c r="AA19" s="119">
        <f>AA20+AA25</f>
        <v>0.66</v>
      </c>
      <c r="AB19" s="119" t="s">
        <v>33</v>
      </c>
      <c r="AC19" s="119">
        <f>AC25</f>
        <v>2.0659999999999998</v>
      </c>
      <c r="AD19" s="119" t="str">
        <f>AD25</f>
        <v>нд</v>
      </c>
      <c r="AE19" s="182">
        <f>AE32</f>
        <v>201</v>
      </c>
      <c r="AF19" s="231" t="s">
        <v>33</v>
      </c>
      <c r="AG19" s="231" t="s">
        <v>33</v>
      </c>
      <c r="AH19" s="119">
        <f>AH20+AH25+AH32</f>
        <v>12.37453815540389</v>
      </c>
      <c r="AI19" s="119">
        <f>AI20+AI25</f>
        <v>0.66</v>
      </c>
      <c r="AJ19" s="231" t="s">
        <v>33</v>
      </c>
      <c r="AK19" s="119">
        <f>AK25</f>
        <v>2.0659999999999998</v>
      </c>
      <c r="AL19" s="231" t="s">
        <v>33</v>
      </c>
      <c r="AM19" s="182">
        <f>AM32</f>
        <v>201</v>
      </c>
      <c r="AN19" s="231" t="s">
        <v>33</v>
      </c>
    </row>
    <row r="20" spans="1:40" s="126" customFormat="1" ht="47.25" x14ac:dyDescent="0.25">
      <c r="A20" s="124" t="s">
        <v>53</v>
      </c>
      <c r="B20" s="39" t="s">
        <v>54</v>
      </c>
      <c r="C20" s="125" t="str">
        <f>C21</f>
        <v>нд</v>
      </c>
      <c r="D20" s="125" t="str">
        <f>D21</f>
        <v>нд</v>
      </c>
      <c r="E20" s="125" t="str">
        <f t="shared" ref="E20:Y20" si="3">E21</f>
        <v>нд</v>
      </c>
      <c r="F20" s="125" t="str">
        <f t="shared" si="3"/>
        <v>нд</v>
      </c>
      <c r="G20" s="125" t="str">
        <f t="shared" si="3"/>
        <v>нд</v>
      </c>
      <c r="H20" s="125" t="str">
        <f t="shared" si="3"/>
        <v>нд</v>
      </c>
      <c r="I20" s="125" t="str">
        <f t="shared" si="3"/>
        <v>нд</v>
      </c>
      <c r="J20" s="125" t="str">
        <f t="shared" si="3"/>
        <v>нд</v>
      </c>
      <c r="K20" s="125" t="str">
        <f t="shared" si="3"/>
        <v>нд</v>
      </c>
      <c r="L20" s="125" t="str">
        <f t="shared" si="3"/>
        <v>нд</v>
      </c>
      <c r="M20" s="125" t="str">
        <f t="shared" si="3"/>
        <v>нд</v>
      </c>
      <c r="N20" s="125" t="str">
        <f t="shared" si="3"/>
        <v>нд</v>
      </c>
      <c r="O20" s="125" t="str">
        <f t="shared" si="3"/>
        <v>нд</v>
      </c>
      <c r="P20" s="125" t="str">
        <f t="shared" si="3"/>
        <v>нд</v>
      </c>
      <c r="Q20" s="125" t="str">
        <f t="shared" si="3"/>
        <v>нд</v>
      </c>
      <c r="R20" s="125" t="str">
        <f t="shared" si="3"/>
        <v>нд</v>
      </c>
      <c r="S20" s="125" t="str">
        <f t="shared" si="3"/>
        <v>нд</v>
      </c>
      <c r="T20" s="125" t="str">
        <f t="shared" si="3"/>
        <v>нд</v>
      </c>
      <c r="U20" s="125" t="str">
        <f t="shared" si="3"/>
        <v>нд</v>
      </c>
      <c r="V20" s="125" t="str">
        <f t="shared" si="3"/>
        <v>нд</v>
      </c>
      <c r="W20" s="125" t="str">
        <f t="shared" si="3"/>
        <v>нд</v>
      </c>
      <c r="X20" s="125" t="str">
        <f t="shared" si="3"/>
        <v>нд</v>
      </c>
      <c r="Y20" s="125" t="str">
        <f t="shared" si="3"/>
        <v>нд</v>
      </c>
      <c r="Z20" s="125">
        <f t="shared" ref="Z20:AN20" si="4">Z21</f>
        <v>6.0644829059401966</v>
      </c>
      <c r="AA20" s="125">
        <f t="shared" si="4"/>
        <v>0.5</v>
      </c>
      <c r="AB20" s="125" t="str">
        <f t="shared" si="4"/>
        <v>нд</v>
      </c>
      <c r="AC20" s="125" t="str">
        <f t="shared" si="4"/>
        <v>нд</v>
      </c>
      <c r="AD20" s="125" t="str">
        <f t="shared" si="4"/>
        <v>нд</v>
      </c>
      <c r="AE20" s="185" t="str">
        <f t="shared" si="4"/>
        <v>нд</v>
      </c>
      <c r="AF20" s="185" t="str">
        <f t="shared" si="4"/>
        <v>нд</v>
      </c>
      <c r="AG20" s="125" t="str">
        <f t="shared" si="4"/>
        <v>нд</v>
      </c>
      <c r="AH20" s="125">
        <f t="shared" si="4"/>
        <v>6.0644829059401966</v>
      </c>
      <c r="AI20" s="125">
        <f t="shared" si="4"/>
        <v>0.5</v>
      </c>
      <c r="AJ20" s="125" t="str">
        <f t="shared" si="4"/>
        <v>нд</v>
      </c>
      <c r="AK20" s="125" t="str">
        <f t="shared" si="4"/>
        <v>нд</v>
      </c>
      <c r="AL20" s="125" t="str">
        <f t="shared" si="4"/>
        <v>нд</v>
      </c>
      <c r="AM20" s="185" t="str">
        <f t="shared" si="4"/>
        <v>нд</v>
      </c>
      <c r="AN20" s="185" t="str">
        <f t="shared" si="4"/>
        <v>нд</v>
      </c>
    </row>
    <row r="21" spans="1:40" s="129" customFormat="1" ht="21.75" customHeight="1" x14ac:dyDescent="0.25">
      <c r="A21" s="127" t="s">
        <v>38</v>
      </c>
      <c r="B21" s="10" t="s">
        <v>39</v>
      </c>
      <c r="C21" s="317" t="s">
        <v>33</v>
      </c>
      <c r="D21" s="317" t="s">
        <v>33</v>
      </c>
      <c r="E21" s="317" t="s">
        <v>33</v>
      </c>
      <c r="F21" s="317" t="s">
        <v>33</v>
      </c>
      <c r="G21" s="317" t="s">
        <v>33</v>
      </c>
      <c r="H21" s="317" t="s">
        <v>33</v>
      </c>
      <c r="I21" s="317" t="s">
        <v>33</v>
      </c>
      <c r="J21" s="317" t="s">
        <v>33</v>
      </c>
      <c r="K21" s="317" t="s">
        <v>33</v>
      </c>
      <c r="L21" s="317" t="s">
        <v>33</v>
      </c>
      <c r="M21" s="317" t="s">
        <v>33</v>
      </c>
      <c r="N21" s="317" t="s">
        <v>33</v>
      </c>
      <c r="O21" s="317" t="s">
        <v>33</v>
      </c>
      <c r="P21" s="317" t="s">
        <v>33</v>
      </c>
      <c r="Q21" s="317" t="s">
        <v>33</v>
      </c>
      <c r="R21" s="317" t="s">
        <v>33</v>
      </c>
      <c r="S21" s="317" t="s">
        <v>33</v>
      </c>
      <c r="T21" s="317" t="s">
        <v>33</v>
      </c>
      <c r="U21" s="317" t="s">
        <v>33</v>
      </c>
      <c r="V21" s="317" t="s">
        <v>33</v>
      </c>
      <c r="W21" s="317" t="s">
        <v>33</v>
      </c>
      <c r="X21" s="317" t="s">
        <v>33</v>
      </c>
      <c r="Y21" s="317" t="s">
        <v>33</v>
      </c>
      <c r="Z21" s="128">
        <f t="shared" ref="Z21:AI21" si="5">SUM(Z22:Z24)</f>
        <v>6.0644829059401966</v>
      </c>
      <c r="AA21" s="128">
        <f t="shared" si="5"/>
        <v>0.5</v>
      </c>
      <c r="AB21" s="317" t="s">
        <v>33</v>
      </c>
      <c r="AC21" s="317" t="s">
        <v>33</v>
      </c>
      <c r="AD21" s="317" t="s">
        <v>33</v>
      </c>
      <c r="AE21" s="317" t="s">
        <v>33</v>
      </c>
      <c r="AF21" s="317" t="s">
        <v>33</v>
      </c>
      <c r="AG21" s="317" t="s">
        <v>33</v>
      </c>
      <c r="AH21" s="128">
        <f t="shared" si="5"/>
        <v>6.0644829059401966</v>
      </c>
      <c r="AI21" s="128">
        <f t="shared" si="5"/>
        <v>0.5</v>
      </c>
      <c r="AJ21" s="317" t="s">
        <v>33</v>
      </c>
      <c r="AK21" s="317" t="s">
        <v>33</v>
      </c>
      <c r="AL21" s="317" t="s">
        <v>33</v>
      </c>
      <c r="AM21" s="317" t="s">
        <v>33</v>
      </c>
      <c r="AN21" s="317" t="s">
        <v>33</v>
      </c>
    </row>
    <row r="22" spans="1:40" s="191" customFormat="1" ht="30" x14ac:dyDescent="0.25">
      <c r="A22" s="13" t="s">
        <v>40</v>
      </c>
      <c r="B22" s="375" t="s">
        <v>1330</v>
      </c>
      <c r="C22" s="410" t="s">
        <v>1348</v>
      </c>
      <c r="D22" s="317" t="s">
        <v>33</v>
      </c>
      <c r="E22" s="317" t="s">
        <v>33</v>
      </c>
      <c r="F22" s="317" t="s">
        <v>33</v>
      </c>
      <c r="G22" s="317" t="s">
        <v>33</v>
      </c>
      <c r="H22" s="317" t="s">
        <v>33</v>
      </c>
      <c r="I22" s="317" t="s">
        <v>33</v>
      </c>
      <c r="J22" s="317" t="s">
        <v>33</v>
      </c>
      <c r="K22" s="317" t="s">
        <v>33</v>
      </c>
      <c r="L22" s="317" t="s">
        <v>33</v>
      </c>
      <c r="M22" s="317" t="s">
        <v>33</v>
      </c>
      <c r="N22" s="317" t="s">
        <v>33</v>
      </c>
      <c r="O22" s="317" t="s">
        <v>33</v>
      </c>
      <c r="P22" s="317" t="s">
        <v>33</v>
      </c>
      <c r="Q22" s="317" t="s">
        <v>33</v>
      </c>
      <c r="R22" s="317" t="s">
        <v>33</v>
      </c>
      <c r="S22" s="317" t="s">
        <v>33</v>
      </c>
      <c r="T22" s="317" t="s">
        <v>33</v>
      </c>
      <c r="U22" s="317" t="s">
        <v>33</v>
      </c>
      <c r="V22" s="317" t="s">
        <v>33</v>
      </c>
      <c r="W22" s="317" t="s">
        <v>33</v>
      </c>
      <c r="X22" s="317" t="s">
        <v>33</v>
      </c>
      <c r="Y22" s="317" t="s">
        <v>33</v>
      </c>
      <c r="Z22" s="317" t="s">
        <v>33</v>
      </c>
      <c r="AA22" s="317" t="s">
        <v>33</v>
      </c>
      <c r="AB22" s="317" t="s">
        <v>33</v>
      </c>
      <c r="AC22" s="317" t="s">
        <v>33</v>
      </c>
      <c r="AD22" s="317" t="s">
        <v>33</v>
      </c>
      <c r="AE22" s="317" t="s">
        <v>33</v>
      </c>
      <c r="AF22" s="317" t="s">
        <v>33</v>
      </c>
      <c r="AG22" s="317" t="s">
        <v>33</v>
      </c>
      <c r="AH22" s="317" t="s">
        <v>33</v>
      </c>
      <c r="AI22" s="317" t="s">
        <v>33</v>
      </c>
      <c r="AJ22" s="317" t="s">
        <v>33</v>
      </c>
      <c r="AK22" s="317" t="s">
        <v>33</v>
      </c>
      <c r="AL22" s="317" t="s">
        <v>33</v>
      </c>
      <c r="AM22" s="317" t="s">
        <v>33</v>
      </c>
      <c r="AN22" s="317" t="s">
        <v>33</v>
      </c>
    </row>
    <row r="23" spans="1:40" s="191" customFormat="1" x14ac:dyDescent="0.25">
      <c r="A23" s="13" t="s">
        <v>465</v>
      </c>
      <c r="B23" s="237" t="s">
        <v>648</v>
      </c>
      <c r="C23" s="410" t="s">
        <v>637</v>
      </c>
      <c r="D23" s="317" t="s">
        <v>33</v>
      </c>
      <c r="E23" s="317" t="s">
        <v>33</v>
      </c>
      <c r="F23" s="317" t="s">
        <v>33</v>
      </c>
      <c r="G23" s="317" t="s">
        <v>33</v>
      </c>
      <c r="H23" s="317" t="s">
        <v>33</v>
      </c>
      <c r="I23" s="317" t="s">
        <v>33</v>
      </c>
      <c r="J23" s="317" t="s">
        <v>33</v>
      </c>
      <c r="K23" s="317" t="s">
        <v>33</v>
      </c>
      <c r="L23" s="317" t="s">
        <v>33</v>
      </c>
      <c r="M23" s="317" t="s">
        <v>33</v>
      </c>
      <c r="N23" s="317" t="s">
        <v>33</v>
      </c>
      <c r="O23" s="317" t="s">
        <v>33</v>
      </c>
      <c r="P23" s="317" t="s">
        <v>33</v>
      </c>
      <c r="Q23" s="317" t="s">
        <v>33</v>
      </c>
      <c r="R23" s="317" t="s">
        <v>33</v>
      </c>
      <c r="S23" s="317" t="s">
        <v>33</v>
      </c>
      <c r="T23" s="317" t="s">
        <v>33</v>
      </c>
      <c r="U23" s="317" t="s">
        <v>33</v>
      </c>
      <c r="V23" s="317" t="s">
        <v>33</v>
      </c>
      <c r="W23" s="317" t="s">
        <v>33</v>
      </c>
      <c r="X23" s="317" t="s">
        <v>33</v>
      </c>
      <c r="Y23" s="317" t="s">
        <v>33</v>
      </c>
      <c r="Z23" s="516">
        <f>Ф4!BY23</f>
        <v>6.0644829059401966</v>
      </c>
      <c r="AA23" s="516">
        <f>Ф4!BZ23</f>
        <v>0.5</v>
      </c>
      <c r="AB23" s="516" t="str">
        <f>Ф4!BS23</f>
        <v>нд</v>
      </c>
      <c r="AC23" s="516" t="str">
        <f>Ф4!BT23</f>
        <v>нд</v>
      </c>
      <c r="AD23" s="516" t="str">
        <f>Ф4!BU23</f>
        <v>нд</v>
      </c>
      <c r="AE23" s="526" t="str">
        <f>Ф4!BV23</f>
        <v>нд</v>
      </c>
      <c r="AF23" s="526" t="str">
        <f>Ф4!BW23</f>
        <v>нд</v>
      </c>
      <c r="AG23" s="517" t="s">
        <v>33</v>
      </c>
      <c r="AH23" s="516">
        <f>Z23</f>
        <v>6.0644829059401966</v>
      </c>
      <c r="AI23" s="516">
        <f>AA23</f>
        <v>0.5</v>
      </c>
      <c r="AJ23" s="517" t="s">
        <v>33</v>
      </c>
      <c r="AK23" s="517" t="s">
        <v>33</v>
      </c>
      <c r="AL23" s="516" t="str">
        <f>AD23</f>
        <v>нд</v>
      </c>
      <c r="AM23" s="517" t="s">
        <v>33</v>
      </c>
      <c r="AN23" s="517" t="s">
        <v>33</v>
      </c>
    </row>
    <row r="24" spans="1:40" s="191" customFormat="1" x14ac:dyDescent="0.25">
      <c r="A24" s="13" t="s">
        <v>615</v>
      </c>
      <c r="B24" s="237" t="s">
        <v>649</v>
      </c>
      <c r="C24" s="410" t="s">
        <v>638</v>
      </c>
      <c r="D24" s="317" t="s">
        <v>33</v>
      </c>
      <c r="E24" s="317" t="s">
        <v>33</v>
      </c>
      <c r="F24" s="317" t="s">
        <v>33</v>
      </c>
      <c r="G24" s="317" t="s">
        <v>33</v>
      </c>
      <c r="H24" s="317" t="s">
        <v>33</v>
      </c>
      <c r="I24" s="317" t="s">
        <v>33</v>
      </c>
      <c r="J24" s="317" t="s">
        <v>33</v>
      </c>
      <c r="K24" s="317" t="s">
        <v>33</v>
      </c>
      <c r="L24" s="317" t="s">
        <v>33</v>
      </c>
      <c r="M24" s="317" t="s">
        <v>33</v>
      </c>
      <c r="N24" s="317" t="s">
        <v>33</v>
      </c>
      <c r="O24" s="317" t="s">
        <v>33</v>
      </c>
      <c r="P24" s="317" t="s">
        <v>33</v>
      </c>
      <c r="Q24" s="317" t="s">
        <v>33</v>
      </c>
      <c r="R24" s="317" t="s">
        <v>33</v>
      </c>
      <c r="S24" s="317" t="s">
        <v>33</v>
      </c>
      <c r="T24" s="317" t="s">
        <v>33</v>
      </c>
      <c r="U24" s="317" t="s">
        <v>33</v>
      </c>
      <c r="V24" s="317" t="s">
        <v>33</v>
      </c>
      <c r="W24" s="317" t="s">
        <v>33</v>
      </c>
      <c r="X24" s="317" t="s">
        <v>33</v>
      </c>
      <c r="Y24" s="317" t="s">
        <v>33</v>
      </c>
      <c r="Z24" s="317" t="s">
        <v>33</v>
      </c>
      <c r="AA24" s="317" t="s">
        <v>33</v>
      </c>
      <c r="AB24" s="317" t="s">
        <v>33</v>
      </c>
      <c r="AC24" s="317" t="s">
        <v>33</v>
      </c>
      <c r="AD24" s="317" t="s">
        <v>33</v>
      </c>
      <c r="AE24" s="317" t="s">
        <v>33</v>
      </c>
      <c r="AF24" s="317" t="s">
        <v>33</v>
      </c>
      <c r="AG24" s="317" t="s">
        <v>33</v>
      </c>
      <c r="AH24" s="317" t="s">
        <v>33</v>
      </c>
      <c r="AI24" s="317" t="s">
        <v>33</v>
      </c>
      <c r="AJ24" s="317" t="s">
        <v>33</v>
      </c>
      <c r="AK24" s="317" t="s">
        <v>33</v>
      </c>
      <c r="AL24" s="317" t="s">
        <v>33</v>
      </c>
      <c r="AM24" s="317" t="s">
        <v>33</v>
      </c>
      <c r="AN24" s="317" t="s">
        <v>33</v>
      </c>
    </row>
    <row r="25" spans="1:40" s="126" customFormat="1" ht="31.5" x14ac:dyDescent="0.25">
      <c r="A25" s="124" t="s">
        <v>41</v>
      </c>
      <c r="B25" s="39" t="s">
        <v>42</v>
      </c>
      <c r="C25" s="125" t="str">
        <f>C26</f>
        <v>нд</v>
      </c>
      <c r="D25" s="125" t="str">
        <f>D26</f>
        <v>нд</v>
      </c>
      <c r="E25" s="125" t="str">
        <f t="shared" ref="E25:Y25" si="6">E26</f>
        <v>нд</v>
      </c>
      <c r="F25" s="125" t="str">
        <f t="shared" si="6"/>
        <v>нд</v>
      </c>
      <c r="G25" s="125" t="str">
        <f t="shared" si="6"/>
        <v>нд</v>
      </c>
      <c r="H25" s="125" t="str">
        <f t="shared" si="6"/>
        <v>нд</v>
      </c>
      <c r="I25" s="125" t="str">
        <f t="shared" si="6"/>
        <v>нд</v>
      </c>
      <c r="J25" s="125" t="str">
        <f t="shared" si="6"/>
        <v>нд</v>
      </c>
      <c r="K25" s="125" t="str">
        <f t="shared" si="6"/>
        <v>нд</v>
      </c>
      <c r="L25" s="125" t="str">
        <f t="shared" si="6"/>
        <v>нд</v>
      </c>
      <c r="M25" s="125" t="str">
        <f t="shared" si="6"/>
        <v>нд</v>
      </c>
      <c r="N25" s="125" t="str">
        <f t="shared" si="6"/>
        <v>нд</v>
      </c>
      <c r="O25" s="125" t="str">
        <f t="shared" si="6"/>
        <v>нд</v>
      </c>
      <c r="P25" s="125" t="str">
        <f t="shared" si="6"/>
        <v>нд</v>
      </c>
      <c r="Q25" s="125" t="str">
        <f t="shared" si="6"/>
        <v>нд</v>
      </c>
      <c r="R25" s="125" t="str">
        <f t="shared" si="6"/>
        <v>нд</v>
      </c>
      <c r="S25" s="125" t="str">
        <f t="shared" si="6"/>
        <v>нд</v>
      </c>
      <c r="T25" s="125" t="str">
        <f t="shared" si="6"/>
        <v>нд</v>
      </c>
      <c r="U25" s="125" t="str">
        <f t="shared" si="6"/>
        <v>нд</v>
      </c>
      <c r="V25" s="125" t="str">
        <f t="shared" si="6"/>
        <v>нд</v>
      </c>
      <c r="W25" s="125" t="str">
        <f t="shared" si="6"/>
        <v>нд</v>
      </c>
      <c r="X25" s="125" t="str">
        <f t="shared" si="6"/>
        <v>нд</v>
      </c>
      <c r="Y25" s="125" t="str">
        <f t="shared" si="6"/>
        <v>нд</v>
      </c>
      <c r="Z25" s="125">
        <f t="shared" ref="Z25:AN25" si="7">Z26</f>
        <v>1.8002719213896201</v>
      </c>
      <c r="AA25" s="125">
        <f t="shared" si="7"/>
        <v>0.16</v>
      </c>
      <c r="AB25" s="125" t="str">
        <f t="shared" si="7"/>
        <v>нд</v>
      </c>
      <c r="AC25" s="125">
        <f t="shared" si="7"/>
        <v>2.0659999999999998</v>
      </c>
      <c r="AD25" s="185" t="str">
        <f t="shared" si="7"/>
        <v>нд</v>
      </c>
      <c r="AE25" s="185" t="str">
        <f t="shared" si="7"/>
        <v>нд</v>
      </c>
      <c r="AF25" s="185" t="str">
        <f t="shared" si="7"/>
        <v>нд</v>
      </c>
      <c r="AG25" s="125" t="str">
        <f t="shared" si="7"/>
        <v>нд</v>
      </c>
      <c r="AH25" s="125">
        <f t="shared" si="7"/>
        <v>1.8002719213896201</v>
      </c>
      <c r="AI25" s="125">
        <f t="shared" si="7"/>
        <v>0.16</v>
      </c>
      <c r="AJ25" s="125" t="str">
        <f t="shared" si="7"/>
        <v>нд</v>
      </c>
      <c r="AK25" s="125">
        <f t="shared" si="7"/>
        <v>2.0659999999999998</v>
      </c>
      <c r="AL25" s="185" t="str">
        <f t="shared" si="7"/>
        <v>нд</v>
      </c>
      <c r="AM25" s="185" t="str">
        <f t="shared" si="7"/>
        <v>нд</v>
      </c>
      <c r="AN25" s="185" t="str">
        <f t="shared" si="7"/>
        <v>нд</v>
      </c>
    </row>
    <row r="26" spans="1:40" s="129" customFormat="1" x14ac:dyDescent="0.25">
      <c r="A26" s="127" t="s">
        <v>49</v>
      </c>
      <c r="B26" s="10" t="s">
        <v>50</v>
      </c>
      <c r="C26" s="317" t="s">
        <v>33</v>
      </c>
      <c r="D26" s="317" t="s">
        <v>33</v>
      </c>
      <c r="E26" s="317" t="s">
        <v>33</v>
      </c>
      <c r="F26" s="317" t="s">
        <v>33</v>
      </c>
      <c r="G26" s="317" t="s">
        <v>33</v>
      </c>
      <c r="H26" s="317" t="s">
        <v>33</v>
      </c>
      <c r="I26" s="317" t="s">
        <v>33</v>
      </c>
      <c r="J26" s="317" t="s">
        <v>33</v>
      </c>
      <c r="K26" s="317" t="s">
        <v>33</v>
      </c>
      <c r="L26" s="317" t="s">
        <v>33</v>
      </c>
      <c r="M26" s="317" t="s">
        <v>33</v>
      </c>
      <c r="N26" s="317" t="s">
        <v>33</v>
      </c>
      <c r="O26" s="317" t="s">
        <v>33</v>
      </c>
      <c r="P26" s="317" t="s">
        <v>33</v>
      </c>
      <c r="Q26" s="317" t="s">
        <v>33</v>
      </c>
      <c r="R26" s="317" t="s">
        <v>33</v>
      </c>
      <c r="S26" s="317" t="s">
        <v>33</v>
      </c>
      <c r="T26" s="317" t="s">
        <v>33</v>
      </c>
      <c r="U26" s="317" t="s">
        <v>33</v>
      </c>
      <c r="V26" s="317" t="s">
        <v>33</v>
      </c>
      <c r="W26" s="317" t="s">
        <v>33</v>
      </c>
      <c r="X26" s="317" t="s">
        <v>33</v>
      </c>
      <c r="Y26" s="317" t="s">
        <v>33</v>
      </c>
      <c r="Z26" s="128">
        <f t="shared" ref="Z26:AK26" si="8">SUM(Z27:Z31)</f>
        <v>1.8002719213896201</v>
      </c>
      <c r="AA26" s="128">
        <f t="shared" ref="AA26" si="9">SUM(AA27:AA31)</f>
        <v>0.16</v>
      </c>
      <c r="AB26" s="317" t="s">
        <v>33</v>
      </c>
      <c r="AC26" s="128">
        <f t="shared" si="8"/>
        <v>2.0659999999999998</v>
      </c>
      <c r="AD26" s="317" t="s">
        <v>33</v>
      </c>
      <c r="AE26" s="317" t="s">
        <v>33</v>
      </c>
      <c r="AF26" s="317" t="s">
        <v>33</v>
      </c>
      <c r="AG26" s="317" t="s">
        <v>33</v>
      </c>
      <c r="AH26" s="128">
        <f t="shared" si="8"/>
        <v>1.8002719213896201</v>
      </c>
      <c r="AI26" s="128">
        <f t="shared" si="8"/>
        <v>0.16</v>
      </c>
      <c r="AJ26" s="317" t="s">
        <v>33</v>
      </c>
      <c r="AK26" s="128">
        <f t="shared" si="8"/>
        <v>2.0659999999999998</v>
      </c>
      <c r="AL26" s="317" t="s">
        <v>33</v>
      </c>
      <c r="AM26" s="317" t="s">
        <v>33</v>
      </c>
      <c r="AN26" s="317" t="s">
        <v>33</v>
      </c>
    </row>
    <row r="27" spans="1:40" s="191" customFormat="1" ht="47.25" x14ac:dyDescent="0.25">
      <c r="A27" s="13" t="s">
        <v>51</v>
      </c>
      <c r="B27" s="236" t="s">
        <v>650</v>
      </c>
      <c r="C27" s="410" t="s">
        <v>1329</v>
      </c>
      <c r="D27" s="317" t="s">
        <v>33</v>
      </c>
      <c r="E27" s="317" t="s">
        <v>33</v>
      </c>
      <c r="F27" s="317" t="s">
        <v>33</v>
      </c>
      <c r="G27" s="317" t="s">
        <v>33</v>
      </c>
      <c r="H27" s="317" t="s">
        <v>33</v>
      </c>
      <c r="I27" s="317" t="s">
        <v>33</v>
      </c>
      <c r="J27" s="317" t="s">
        <v>33</v>
      </c>
      <c r="K27" s="317" t="s">
        <v>33</v>
      </c>
      <c r="L27" s="317" t="s">
        <v>33</v>
      </c>
      <c r="M27" s="317" t="s">
        <v>33</v>
      </c>
      <c r="N27" s="317" t="s">
        <v>33</v>
      </c>
      <c r="O27" s="317" t="s">
        <v>33</v>
      </c>
      <c r="P27" s="317" t="s">
        <v>33</v>
      </c>
      <c r="Q27" s="317" t="s">
        <v>33</v>
      </c>
      <c r="R27" s="317" t="s">
        <v>33</v>
      </c>
      <c r="S27" s="317" t="s">
        <v>33</v>
      </c>
      <c r="T27" s="317" t="s">
        <v>33</v>
      </c>
      <c r="U27" s="317" t="s">
        <v>33</v>
      </c>
      <c r="V27" s="317" t="s">
        <v>33</v>
      </c>
      <c r="W27" s="317" t="s">
        <v>33</v>
      </c>
      <c r="X27" s="317" t="s">
        <v>33</v>
      </c>
      <c r="Y27" s="317" t="s">
        <v>33</v>
      </c>
      <c r="Z27" s="317" t="s">
        <v>33</v>
      </c>
      <c r="AA27" s="317" t="s">
        <v>33</v>
      </c>
      <c r="AB27" s="317" t="s">
        <v>33</v>
      </c>
      <c r="AC27" s="317" t="s">
        <v>33</v>
      </c>
      <c r="AD27" s="317" t="s">
        <v>33</v>
      </c>
      <c r="AE27" s="317" t="s">
        <v>33</v>
      </c>
      <c r="AF27" s="317" t="s">
        <v>33</v>
      </c>
      <c r="AG27" s="317" t="s">
        <v>33</v>
      </c>
      <c r="AH27" s="317" t="s">
        <v>33</v>
      </c>
      <c r="AI27" s="317" t="s">
        <v>33</v>
      </c>
      <c r="AJ27" s="317" t="s">
        <v>33</v>
      </c>
      <c r="AK27" s="317" t="s">
        <v>33</v>
      </c>
      <c r="AL27" s="317" t="s">
        <v>33</v>
      </c>
      <c r="AM27" s="317" t="s">
        <v>33</v>
      </c>
      <c r="AN27" s="317" t="s">
        <v>33</v>
      </c>
    </row>
    <row r="28" spans="1:40" s="191" customFormat="1" x14ac:dyDescent="0.25">
      <c r="A28" s="13" t="s">
        <v>578</v>
      </c>
      <c r="B28" s="236" t="s">
        <v>651</v>
      </c>
      <c r="C28" s="410" t="s">
        <v>1349</v>
      </c>
      <c r="D28" s="317" t="s">
        <v>33</v>
      </c>
      <c r="E28" s="317" t="s">
        <v>33</v>
      </c>
      <c r="F28" s="317" t="s">
        <v>33</v>
      </c>
      <c r="G28" s="317" t="s">
        <v>33</v>
      </c>
      <c r="H28" s="317" t="s">
        <v>33</v>
      </c>
      <c r="I28" s="317" t="s">
        <v>33</v>
      </c>
      <c r="J28" s="317" t="s">
        <v>33</v>
      </c>
      <c r="K28" s="317" t="s">
        <v>33</v>
      </c>
      <c r="L28" s="317" t="s">
        <v>33</v>
      </c>
      <c r="M28" s="317" t="s">
        <v>33</v>
      </c>
      <c r="N28" s="317" t="s">
        <v>33</v>
      </c>
      <c r="O28" s="317" t="s">
        <v>33</v>
      </c>
      <c r="P28" s="317" t="s">
        <v>33</v>
      </c>
      <c r="Q28" s="317" t="s">
        <v>33</v>
      </c>
      <c r="R28" s="317" t="s">
        <v>33</v>
      </c>
      <c r="S28" s="317" t="s">
        <v>33</v>
      </c>
      <c r="T28" s="317" t="s">
        <v>33</v>
      </c>
      <c r="U28" s="317" t="s">
        <v>33</v>
      </c>
      <c r="V28" s="317" t="s">
        <v>33</v>
      </c>
      <c r="W28" s="317" t="s">
        <v>33</v>
      </c>
      <c r="X28" s="317" t="s">
        <v>33</v>
      </c>
      <c r="Y28" s="317" t="s">
        <v>33</v>
      </c>
      <c r="Z28" s="317" t="s">
        <v>33</v>
      </c>
      <c r="AA28" s="317" t="s">
        <v>33</v>
      </c>
      <c r="AB28" s="317" t="s">
        <v>33</v>
      </c>
      <c r="AC28" s="317" t="s">
        <v>33</v>
      </c>
      <c r="AD28" s="317" t="s">
        <v>33</v>
      </c>
      <c r="AE28" s="317" t="s">
        <v>33</v>
      </c>
      <c r="AF28" s="317" t="s">
        <v>33</v>
      </c>
      <c r="AG28" s="317" t="s">
        <v>33</v>
      </c>
      <c r="AH28" s="317" t="s">
        <v>33</v>
      </c>
      <c r="AI28" s="317" t="s">
        <v>33</v>
      </c>
      <c r="AJ28" s="317" t="s">
        <v>33</v>
      </c>
      <c r="AK28" s="317" t="s">
        <v>33</v>
      </c>
      <c r="AL28" s="317" t="s">
        <v>33</v>
      </c>
      <c r="AM28" s="317" t="s">
        <v>33</v>
      </c>
      <c r="AN28" s="317" t="s">
        <v>33</v>
      </c>
    </row>
    <row r="29" spans="1:40" s="191" customFormat="1" x14ac:dyDescent="0.25">
      <c r="A29" s="13" t="s">
        <v>580</v>
      </c>
      <c r="B29" s="236" t="s">
        <v>652</v>
      </c>
      <c r="C29" s="410" t="s">
        <v>1350</v>
      </c>
      <c r="D29" s="317" t="s">
        <v>33</v>
      </c>
      <c r="E29" s="317" t="s">
        <v>33</v>
      </c>
      <c r="F29" s="317" t="s">
        <v>33</v>
      </c>
      <c r="G29" s="317" t="s">
        <v>33</v>
      </c>
      <c r="H29" s="317" t="s">
        <v>33</v>
      </c>
      <c r="I29" s="317" t="s">
        <v>33</v>
      </c>
      <c r="J29" s="317" t="s">
        <v>33</v>
      </c>
      <c r="K29" s="317" t="s">
        <v>33</v>
      </c>
      <c r="L29" s="317" t="s">
        <v>33</v>
      </c>
      <c r="M29" s="317" t="s">
        <v>33</v>
      </c>
      <c r="N29" s="317" t="s">
        <v>33</v>
      </c>
      <c r="O29" s="317" t="s">
        <v>33</v>
      </c>
      <c r="P29" s="317" t="s">
        <v>33</v>
      </c>
      <c r="Q29" s="317" t="s">
        <v>33</v>
      </c>
      <c r="R29" s="317" t="s">
        <v>33</v>
      </c>
      <c r="S29" s="317" t="s">
        <v>33</v>
      </c>
      <c r="T29" s="317" t="s">
        <v>33</v>
      </c>
      <c r="U29" s="317" t="s">
        <v>33</v>
      </c>
      <c r="V29" s="317" t="s">
        <v>33</v>
      </c>
      <c r="W29" s="317" t="s">
        <v>33</v>
      </c>
      <c r="X29" s="317" t="s">
        <v>33</v>
      </c>
      <c r="Y29" s="317" t="s">
        <v>33</v>
      </c>
      <c r="Z29" s="317" t="s">
        <v>33</v>
      </c>
      <c r="AA29" s="317" t="s">
        <v>33</v>
      </c>
      <c r="AB29" s="317" t="s">
        <v>33</v>
      </c>
      <c r="AC29" s="317" t="s">
        <v>33</v>
      </c>
      <c r="AD29" s="317" t="s">
        <v>33</v>
      </c>
      <c r="AE29" s="317" t="s">
        <v>33</v>
      </c>
      <c r="AF29" s="317" t="s">
        <v>33</v>
      </c>
      <c r="AG29" s="317" t="s">
        <v>33</v>
      </c>
      <c r="AH29" s="317" t="s">
        <v>33</v>
      </c>
      <c r="AI29" s="317" t="s">
        <v>33</v>
      </c>
      <c r="AJ29" s="317" t="s">
        <v>33</v>
      </c>
      <c r="AK29" s="317" t="s">
        <v>33</v>
      </c>
      <c r="AL29" s="317" t="s">
        <v>33</v>
      </c>
      <c r="AM29" s="317" t="s">
        <v>33</v>
      </c>
      <c r="AN29" s="317" t="s">
        <v>33</v>
      </c>
    </row>
    <row r="30" spans="1:40" s="191" customFormat="1" ht="31.5" x14ac:dyDescent="0.25">
      <c r="A30" s="13" t="s">
        <v>581</v>
      </c>
      <c r="B30" s="236" t="s">
        <v>1340</v>
      </c>
      <c r="C30" s="410" t="s">
        <v>1351</v>
      </c>
      <c r="D30" s="317" t="s">
        <v>33</v>
      </c>
      <c r="E30" s="317" t="s">
        <v>33</v>
      </c>
      <c r="F30" s="317" t="s">
        <v>33</v>
      </c>
      <c r="G30" s="317" t="s">
        <v>33</v>
      </c>
      <c r="H30" s="317" t="s">
        <v>33</v>
      </c>
      <c r="I30" s="317" t="s">
        <v>33</v>
      </c>
      <c r="J30" s="317" t="s">
        <v>33</v>
      </c>
      <c r="K30" s="317" t="s">
        <v>33</v>
      </c>
      <c r="L30" s="317" t="s">
        <v>33</v>
      </c>
      <c r="M30" s="317" t="s">
        <v>33</v>
      </c>
      <c r="N30" s="317" t="s">
        <v>33</v>
      </c>
      <c r="O30" s="317" t="s">
        <v>33</v>
      </c>
      <c r="P30" s="317" t="s">
        <v>33</v>
      </c>
      <c r="Q30" s="317" t="s">
        <v>33</v>
      </c>
      <c r="R30" s="317" t="s">
        <v>33</v>
      </c>
      <c r="S30" s="317" t="s">
        <v>33</v>
      </c>
      <c r="T30" s="317" t="s">
        <v>33</v>
      </c>
      <c r="U30" s="317" t="s">
        <v>33</v>
      </c>
      <c r="V30" s="317" t="s">
        <v>33</v>
      </c>
      <c r="W30" s="317" t="s">
        <v>33</v>
      </c>
      <c r="X30" s="317" t="s">
        <v>33</v>
      </c>
      <c r="Y30" s="317" t="s">
        <v>33</v>
      </c>
      <c r="Z30" s="317" t="s">
        <v>33</v>
      </c>
      <c r="AA30" s="317" t="s">
        <v>33</v>
      </c>
      <c r="AB30" s="317" t="s">
        <v>33</v>
      </c>
      <c r="AC30" s="317" t="s">
        <v>33</v>
      </c>
      <c r="AD30" s="317" t="s">
        <v>33</v>
      </c>
      <c r="AE30" s="317" t="s">
        <v>33</v>
      </c>
      <c r="AF30" s="317" t="s">
        <v>33</v>
      </c>
      <c r="AG30" s="317" t="s">
        <v>33</v>
      </c>
      <c r="AH30" s="317" t="s">
        <v>33</v>
      </c>
      <c r="AI30" s="317" t="s">
        <v>33</v>
      </c>
      <c r="AJ30" s="317" t="s">
        <v>33</v>
      </c>
      <c r="AK30" s="317" t="s">
        <v>33</v>
      </c>
      <c r="AL30" s="317" t="s">
        <v>33</v>
      </c>
      <c r="AM30" s="317" t="s">
        <v>33</v>
      </c>
      <c r="AN30" s="317" t="s">
        <v>33</v>
      </c>
    </row>
    <row r="31" spans="1:40" s="191" customFormat="1" ht="47.25" x14ac:dyDescent="0.25">
      <c r="A31" s="13" t="s">
        <v>1368</v>
      </c>
      <c r="B31" s="236" t="s">
        <v>653</v>
      </c>
      <c r="C31" s="410" t="s">
        <v>640</v>
      </c>
      <c r="D31" s="317" t="s">
        <v>33</v>
      </c>
      <c r="E31" s="317" t="s">
        <v>33</v>
      </c>
      <c r="F31" s="317" t="s">
        <v>33</v>
      </c>
      <c r="G31" s="317" t="s">
        <v>33</v>
      </c>
      <c r="H31" s="317" t="s">
        <v>33</v>
      </c>
      <c r="I31" s="317" t="s">
        <v>33</v>
      </c>
      <c r="J31" s="317" t="s">
        <v>33</v>
      </c>
      <c r="K31" s="317" t="s">
        <v>33</v>
      </c>
      <c r="L31" s="317" t="s">
        <v>33</v>
      </c>
      <c r="M31" s="317" t="s">
        <v>33</v>
      </c>
      <c r="N31" s="317" t="s">
        <v>33</v>
      </c>
      <c r="O31" s="317" t="s">
        <v>33</v>
      </c>
      <c r="P31" s="317" t="s">
        <v>33</v>
      </c>
      <c r="Q31" s="317" t="s">
        <v>33</v>
      </c>
      <c r="R31" s="317" t="s">
        <v>33</v>
      </c>
      <c r="S31" s="317" t="s">
        <v>33</v>
      </c>
      <c r="T31" s="317" t="s">
        <v>33</v>
      </c>
      <c r="U31" s="317" t="s">
        <v>33</v>
      </c>
      <c r="V31" s="317" t="s">
        <v>33</v>
      </c>
      <c r="W31" s="317" t="s">
        <v>33</v>
      </c>
      <c r="X31" s="317" t="s">
        <v>33</v>
      </c>
      <c r="Y31" s="317" t="s">
        <v>33</v>
      </c>
      <c r="Z31" s="516">
        <f>Ф4!BY31</f>
        <v>1.8002719213896201</v>
      </c>
      <c r="AA31" s="516">
        <f>Ф4!BZ31</f>
        <v>0.16</v>
      </c>
      <c r="AB31" s="516" t="str">
        <f>Ф4!BS31</f>
        <v>нд</v>
      </c>
      <c r="AC31" s="516">
        <f>Ф4!CB31</f>
        <v>2.0659999999999998</v>
      </c>
      <c r="AD31" s="516" t="str">
        <f>Ф4!BU31</f>
        <v>нд</v>
      </c>
      <c r="AE31" s="526" t="str">
        <f>Ф4!BV31</f>
        <v>нд</v>
      </c>
      <c r="AF31" s="526" t="str">
        <f>Ф4!BW31</f>
        <v>нд</v>
      </c>
      <c r="AG31" s="517" t="s">
        <v>33</v>
      </c>
      <c r="AH31" s="516">
        <f>Z31</f>
        <v>1.8002719213896201</v>
      </c>
      <c r="AI31" s="516">
        <f>AA31</f>
        <v>0.16</v>
      </c>
      <c r="AJ31" s="517" t="s">
        <v>33</v>
      </c>
      <c r="AK31" s="516">
        <f>AC31</f>
        <v>2.0659999999999998</v>
      </c>
      <c r="AL31" s="516" t="str">
        <f>AD31</f>
        <v>нд</v>
      </c>
      <c r="AM31" s="517" t="s">
        <v>33</v>
      </c>
      <c r="AN31" s="517" t="s">
        <v>33</v>
      </c>
    </row>
    <row r="32" spans="1:40" s="126" customFormat="1" ht="31.5" x14ac:dyDescent="0.25">
      <c r="A32" s="124" t="s">
        <v>68</v>
      </c>
      <c r="B32" s="39" t="s">
        <v>69</v>
      </c>
      <c r="C32" s="125" t="str">
        <f>C33</f>
        <v>нд</v>
      </c>
      <c r="D32" s="125" t="str">
        <f>D33</f>
        <v>нд</v>
      </c>
      <c r="E32" s="125" t="str">
        <f t="shared" ref="E32:Y32" si="10">E33</f>
        <v>нд</v>
      </c>
      <c r="F32" s="125" t="str">
        <f t="shared" si="10"/>
        <v>нд</v>
      </c>
      <c r="G32" s="125" t="str">
        <f t="shared" si="10"/>
        <v>нд</v>
      </c>
      <c r="H32" s="125" t="str">
        <f t="shared" si="10"/>
        <v>нд</v>
      </c>
      <c r="I32" s="125" t="str">
        <f t="shared" si="10"/>
        <v>нд</v>
      </c>
      <c r="J32" s="125" t="str">
        <f t="shared" si="10"/>
        <v>нд</v>
      </c>
      <c r="K32" s="125" t="str">
        <f t="shared" si="10"/>
        <v>нд</v>
      </c>
      <c r="L32" s="125" t="str">
        <f t="shared" si="10"/>
        <v>нд</v>
      </c>
      <c r="M32" s="125" t="str">
        <f t="shared" si="10"/>
        <v>нд</v>
      </c>
      <c r="N32" s="125" t="str">
        <f t="shared" si="10"/>
        <v>нд</v>
      </c>
      <c r="O32" s="125" t="str">
        <f t="shared" si="10"/>
        <v>нд</v>
      </c>
      <c r="P32" s="125" t="str">
        <f t="shared" si="10"/>
        <v>нд</v>
      </c>
      <c r="Q32" s="125" t="str">
        <f t="shared" si="10"/>
        <v>нд</v>
      </c>
      <c r="R32" s="125" t="str">
        <f t="shared" si="10"/>
        <v>нд</v>
      </c>
      <c r="S32" s="125" t="str">
        <f t="shared" si="10"/>
        <v>нд</v>
      </c>
      <c r="T32" s="125" t="str">
        <f t="shared" si="10"/>
        <v>нд</v>
      </c>
      <c r="U32" s="125" t="str">
        <f t="shared" si="10"/>
        <v>нд</v>
      </c>
      <c r="V32" s="125" t="str">
        <f t="shared" si="10"/>
        <v>нд</v>
      </c>
      <c r="W32" s="125" t="str">
        <f t="shared" si="10"/>
        <v>нд</v>
      </c>
      <c r="X32" s="125" t="str">
        <f t="shared" si="10"/>
        <v>нд</v>
      </c>
      <c r="Y32" s="125" t="str">
        <f t="shared" si="10"/>
        <v>нд</v>
      </c>
      <c r="Z32" s="125">
        <f t="shared" ref="Z32:AN32" si="11">Z33</f>
        <v>4.5097833280740725</v>
      </c>
      <c r="AA32" s="125" t="str">
        <f t="shared" si="11"/>
        <v>нд</v>
      </c>
      <c r="AB32" s="125" t="str">
        <f t="shared" si="11"/>
        <v>нд</v>
      </c>
      <c r="AC32" s="125" t="str">
        <f t="shared" si="11"/>
        <v>нд</v>
      </c>
      <c r="AD32" s="125" t="str">
        <f t="shared" si="11"/>
        <v>нд</v>
      </c>
      <c r="AE32" s="180">
        <f t="shared" si="11"/>
        <v>201</v>
      </c>
      <c r="AF32" s="185" t="str">
        <f t="shared" si="11"/>
        <v>нд</v>
      </c>
      <c r="AG32" s="125" t="str">
        <f t="shared" si="11"/>
        <v>нд</v>
      </c>
      <c r="AH32" s="125">
        <f t="shared" si="11"/>
        <v>4.5097833280740725</v>
      </c>
      <c r="AI32" s="125" t="str">
        <f t="shared" si="11"/>
        <v>нд</v>
      </c>
      <c r="AJ32" s="125" t="str">
        <f t="shared" si="11"/>
        <v>нд</v>
      </c>
      <c r="AK32" s="125" t="str">
        <f t="shared" si="11"/>
        <v>нд</v>
      </c>
      <c r="AL32" s="125" t="str">
        <f t="shared" si="11"/>
        <v>нд</v>
      </c>
      <c r="AM32" s="185">
        <f t="shared" si="11"/>
        <v>201</v>
      </c>
      <c r="AN32" s="185" t="str">
        <f t="shared" si="11"/>
        <v>нд</v>
      </c>
    </row>
    <row r="33" spans="1:40" s="129" customFormat="1" ht="31.5" outlineLevel="1" x14ac:dyDescent="0.25">
      <c r="A33" s="127" t="s">
        <v>70</v>
      </c>
      <c r="B33" s="10" t="s">
        <v>71</v>
      </c>
      <c r="C33" s="317" t="s">
        <v>33</v>
      </c>
      <c r="D33" s="317" t="s">
        <v>33</v>
      </c>
      <c r="E33" s="317" t="s">
        <v>33</v>
      </c>
      <c r="F33" s="317" t="s">
        <v>33</v>
      </c>
      <c r="G33" s="317" t="s">
        <v>33</v>
      </c>
      <c r="H33" s="317" t="s">
        <v>33</v>
      </c>
      <c r="I33" s="317" t="s">
        <v>33</v>
      </c>
      <c r="J33" s="317" t="s">
        <v>33</v>
      </c>
      <c r="K33" s="317" t="s">
        <v>33</v>
      </c>
      <c r="L33" s="317" t="s">
        <v>33</v>
      </c>
      <c r="M33" s="317" t="s">
        <v>33</v>
      </c>
      <c r="N33" s="317" t="s">
        <v>33</v>
      </c>
      <c r="O33" s="317" t="s">
        <v>33</v>
      </c>
      <c r="P33" s="317" t="s">
        <v>33</v>
      </c>
      <c r="Q33" s="317" t="s">
        <v>33</v>
      </c>
      <c r="R33" s="317" t="s">
        <v>33</v>
      </c>
      <c r="S33" s="317" t="s">
        <v>33</v>
      </c>
      <c r="T33" s="317" t="s">
        <v>33</v>
      </c>
      <c r="U33" s="317" t="s">
        <v>33</v>
      </c>
      <c r="V33" s="317" t="s">
        <v>33</v>
      </c>
      <c r="W33" s="317" t="s">
        <v>33</v>
      </c>
      <c r="X33" s="317" t="s">
        <v>33</v>
      </c>
      <c r="Y33" s="317" t="s">
        <v>33</v>
      </c>
      <c r="Z33" s="128">
        <f>Z38</f>
        <v>4.5097833280740725</v>
      </c>
      <c r="AA33" s="317" t="s">
        <v>33</v>
      </c>
      <c r="AB33" s="317" t="s">
        <v>33</v>
      </c>
      <c r="AC33" s="317" t="s">
        <v>33</v>
      </c>
      <c r="AD33" s="317" t="s">
        <v>33</v>
      </c>
      <c r="AE33" s="181">
        <f>AE38</f>
        <v>201</v>
      </c>
      <c r="AF33" s="317" t="s">
        <v>33</v>
      </c>
      <c r="AG33" s="317" t="s">
        <v>33</v>
      </c>
      <c r="AH33" s="128">
        <f>AH38</f>
        <v>4.5097833280740725</v>
      </c>
      <c r="AI33" s="128" t="str">
        <f t="shared" ref="AI33:AN33" si="12">AI38</f>
        <v>нд</v>
      </c>
      <c r="AJ33" s="128" t="str">
        <f t="shared" si="12"/>
        <v>нд</v>
      </c>
      <c r="AK33" s="128" t="str">
        <f t="shared" si="12"/>
        <v>нд</v>
      </c>
      <c r="AL33" s="128" t="str">
        <f t="shared" si="12"/>
        <v>нд</v>
      </c>
      <c r="AM33" s="330">
        <f t="shared" si="12"/>
        <v>201</v>
      </c>
      <c r="AN33" s="128" t="str">
        <f t="shared" si="12"/>
        <v>нд</v>
      </c>
    </row>
    <row r="34" spans="1:40" s="129" customFormat="1" outlineLevel="1" x14ac:dyDescent="0.25">
      <c r="A34" s="13" t="s">
        <v>616</v>
      </c>
      <c r="B34" s="210" t="s">
        <v>621</v>
      </c>
      <c r="C34" s="201" t="s">
        <v>641</v>
      </c>
      <c r="D34" s="317" t="s">
        <v>33</v>
      </c>
      <c r="E34" s="317" t="s">
        <v>33</v>
      </c>
      <c r="F34" s="317" t="s">
        <v>33</v>
      </c>
      <c r="G34" s="317" t="s">
        <v>33</v>
      </c>
      <c r="H34" s="317" t="s">
        <v>33</v>
      </c>
      <c r="I34" s="317" t="s">
        <v>33</v>
      </c>
      <c r="J34" s="317" t="s">
        <v>33</v>
      </c>
      <c r="K34" s="317" t="s">
        <v>33</v>
      </c>
      <c r="L34" s="317" t="s">
        <v>33</v>
      </c>
      <c r="M34" s="317" t="s">
        <v>33</v>
      </c>
      <c r="N34" s="317" t="s">
        <v>33</v>
      </c>
      <c r="O34" s="317" t="s">
        <v>33</v>
      </c>
      <c r="P34" s="317" t="s">
        <v>33</v>
      </c>
      <c r="Q34" s="317" t="s">
        <v>33</v>
      </c>
      <c r="R34" s="317" t="s">
        <v>33</v>
      </c>
      <c r="S34" s="317" t="s">
        <v>33</v>
      </c>
      <c r="T34" s="317" t="s">
        <v>33</v>
      </c>
      <c r="U34" s="317" t="s">
        <v>33</v>
      </c>
      <c r="V34" s="317" t="s">
        <v>33</v>
      </c>
      <c r="W34" s="317" t="s">
        <v>33</v>
      </c>
      <c r="X34" s="317" t="s">
        <v>33</v>
      </c>
      <c r="Y34" s="317" t="s">
        <v>33</v>
      </c>
      <c r="Z34" s="317" t="s">
        <v>33</v>
      </c>
      <c r="AA34" s="317" t="s">
        <v>33</v>
      </c>
      <c r="AB34" s="317" t="s">
        <v>33</v>
      </c>
      <c r="AC34" s="317" t="s">
        <v>33</v>
      </c>
      <c r="AD34" s="317" t="s">
        <v>33</v>
      </c>
      <c r="AE34" s="317" t="s">
        <v>33</v>
      </c>
      <c r="AF34" s="317" t="s">
        <v>33</v>
      </c>
      <c r="AG34" s="317" t="s">
        <v>33</v>
      </c>
      <c r="AH34" s="317" t="s">
        <v>33</v>
      </c>
      <c r="AI34" s="317" t="s">
        <v>33</v>
      </c>
      <c r="AJ34" s="317" t="s">
        <v>33</v>
      </c>
      <c r="AK34" s="317" t="s">
        <v>33</v>
      </c>
      <c r="AL34" s="317" t="s">
        <v>33</v>
      </c>
      <c r="AM34" s="317" t="s">
        <v>33</v>
      </c>
      <c r="AN34" s="317" t="s">
        <v>33</v>
      </c>
    </row>
    <row r="35" spans="1:40" s="129" customFormat="1" outlineLevel="1" x14ac:dyDescent="0.25">
      <c r="A35" s="13" t="s">
        <v>617</v>
      </c>
      <c r="B35" s="210" t="s">
        <v>621</v>
      </c>
      <c r="C35" s="201" t="s">
        <v>1359</v>
      </c>
      <c r="D35" s="317" t="s">
        <v>33</v>
      </c>
      <c r="E35" s="317" t="s">
        <v>33</v>
      </c>
      <c r="F35" s="317" t="s">
        <v>33</v>
      </c>
      <c r="G35" s="317" t="s">
        <v>33</v>
      </c>
      <c r="H35" s="317" t="s">
        <v>33</v>
      </c>
      <c r="I35" s="317" t="s">
        <v>33</v>
      </c>
      <c r="J35" s="317" t="s">
        <v>33</v>
      </c>
      <c r="K35" s="317" t="s">
        <v>33</v>
      </c>
      <c r="L35" s="317" t="s">
        <v>33</v>
      </c>
      <c r="M35" s="317" t="s">
        <v>33</v>
      </c>
      <c r="N35" s="317" t="s">
        <v>33</v>
      </c>
      <c r="O35" s="317" t="s">
        <v>33</v>
      </c>
      <c r="P35" s="317" t="s">
        <v>33</v>
      </c>
      <c r="Q35" s="317" t="s">
        <v>33</v>
      </c>
      <c r="R35" s="317" t="s">
        <v>33</v>
      </c>
      <c r="S35" s="317" t="s">
        <v>33</v>
      </c>
      <c r="T35" s="317" t="s">
        <v>33</v>
      </c>
      <c r="U35" s="317" t="s">
        <v>33</v>
      </c>
      <c r="V35" s="317" t="s">
        <v>33</v>
      </c>
      <c r="W35" s="317" t="s">
        <v>33</v>
      </c>
      <c r="X35" s="317" t="s">
        <v>33</v>
      </c>
      <c r="Y35" s="317" t="s">
        <v>33</v>
      </c>
      <c r="Z35" s="317" t="s">
        <v>33</v>
      </c>
      <c r="AA35" s="317" t="s">
        <v>33</v>
      </c>
      <c r="AB35" s="317" t="s">
        <v>33</v>
      </c>
      <c r="AC35" s="317" t="s">
        <v>33</v>
      </c>
      <c r="AD35" s="317" t="s">
        <v>33</v>
      </c>
      <c r="AE35" s="317" t="s">
        <v>33</v>
      </c>
      <c r="AF35" s="317" t="s">
        <v>33</v>
      </c>
      <c r="AG35" s="317" t="s">
        <v>33</v>
      </c>
      <c r="AH35" s="317" t="s">
        <v>33</v>
      </c>
      <c r="AI35" s="317" t="s">
        <v>33</v>
      </c>
      <c r="AJ35" s="317" t="s">
        <v>33</v>
      </c>
      <c r="AK35" s="317" t="s">
        <v>33</v>
      </c>
      <c r="AL35" s="317" t="s">
        <v>33</v>
      </c>
      <c r="AM35" s="317" t="s">
        <v>33</v>
      </c>
      <c r="AN35" s="317" t="s">
        <v>33</v>
      </c>
    </row>
    <row r="36" spans="1:40" s="129" customFormat="1" outlineLevel="1" x14ac:dyDescent="0.25">
      <c r="A36" s="13" t="s">
        <v>618</v>
      </c>
      <c r="B36" s="210" t="s">
        <v>621</v>
      </c>
      <c r="C36" s="201" t="s">
        <v>1360</v>
      </c>
      <c r="D36" s="317" t="s">
        <v>33</v>
      </c>
      <c r="E36" s="317" t="s">
        <v>33</v>
      </c>
      <c r="F36" s="317" t="s">
        <v>33</v>
      </c>
      <c r="G36" s="317" t="s">
        <v>33</v>
      </c>
      <c r="H36" s="317" t="s">
        <v>33</v>
      </c>
      <c r="I36" s="317" t="s">
        <v>33</v>
      </c>
      <c r="J36" s="317" t="s">
        <v>33</v>
      </c>
      <c r="K36" s="317" t="s">
        <v>33</v>
      </c>
      <c r="L36" s="317" t="s">
        <v>33</v>
      </c>
      <c r="M36" s="317" t="s">
        <v>33</v>
      </c>
      <c r="N36" s="317" t="s">
        <v>33</v>
      </c>
      <c r="O36" s="317" t="s">
        <v>33</v>
      </c>
      <c r="P36" s="317" t="s">
        <v>33</v>
      </c>
      <c r="Q36" s="317" t="s">
        <v>33</v>
      </c>
      <c r="R36" s="317" t="s">
        <v>33</v>
      </c>
      <c r="S36" s="317" t="s">
        <v>33</v>
      </c>
      <c r="T36" s="317" t="s">
        <v>33</v>
      </c>
      <c r="U36" s="317" t="s">
        <v>33</v>
      </c>
      <c r="V36" s="317" t="s">
        <v>33</v>
      </c>
      <c r="W36" s="317" t="s">
        <v>33</v>
      </c>
      <c r="X36" s="317" t="s">
        <v>33</v>
      </c>
      <c r="Y36" s="317" t="s">
        <v>33</v>
      </c>
      <c r="Z36" s="317" t="s">
        <v>33</v>
      </c>
      <c r="AA36" s="317" t="s">
        <v>33</v>
      </c>
      <c r="AB36" s="317" t="s">
        <v>33</v>
      </c>
      <c r="AC36" s="317" t="s">
        <v>33</v>
      </c>
      <c r="AD36" s="317" t="s">
        <v>33</v>
      </c>
      <c r="AE36" s="317" t="s">
        <v>33</v>
      </c>
      <c r="AF36" s="317" t="s">
        <v>33</v>
      </c>
      <c r="AG36" s="317" t="s">
        <v>33</v>
      </c>
      <c r="AH36" s="317" t="s">
        <v>33</v>
      </c>
      <c r="AI36" s="317" t="s">
        <v>33</v>
      </c>
      <c r="AJ36" s="317" t="s">
        <v>33</v>
      </c>
      <c r="AK36" s="317" t="s">
        <v>33</v>
      </c>
      <c r="AL36" s="317" t="s">
        <v>33</v>
      </c>
      <c r="AM36" s="317" t="s">
        <v>33</v>
      </c>
      <c r="AN36" s="317" t="s">
        <v>33</v>
      </c>
    </row>
    <row r="37" spans="1:40" s="129" customFormat="1" ht="31.5" outlineLevel="1" x14ac:dyDescent="0.25">
      <c r="A37" s="13" t="s">
        <v>619</v>
      </c>
      <c r="B37" s="210" t="s">
        <v>1334</v>
      </c>
      <c r="C37" s="201" t="s">
        <v>1341</v>
      </c>
      <c r="D37" s="317" t="s">
        <v>33</v>
      </c>
      <c r="E37" s="317" t="s">
        <v>33</v>
      </c>
      <c r="F37" s="317" t="s">
        <v>33</v>
      </c>
      <c r="G37" s="317" t="s">
        <v>33</v>
      </c>
      <c r="H37" s="317" t="s">
        <v>33</v>
      </c>
      <c r="I37" s="317" t="s">
        <v>33</v>
      </c>
      <c r="J37" s="317" t="s">
        <v>33</v>
      </c>
      <c r="K37" s="317" t="s">
        <v>33</v>
      </c>
      <c r="L37" s="317" t="s">
        <v>33</v>
      </c>
      <c r="M37" s="317" t="s">
        <v>33</v>
      </c>
      <c r="N37" s="317" t="s">
        <v>33</v>
      </c>
      <c r="O37" s="317" t="s">
        <v>33</v>
      </c>
      <c r="P37" s="317" t="s">
        <v>33</v>
      </c>
      <c r="Q37" s="317" t="s">
        <v>33</v>
      </c>
      <c r="R37" s="317" t="s">
        <v>33</v>
      </c>
      <c r="S37" s="317" t="s">
        <v>33</v>
      </c>
      <c r="T37" s="317" t="s">
        <v>33</v>
      </c>
      <c r="U37" s="317" t="s">
        <v>33</v>
      </c>
      <c r="V37" s="317" t="s">
        <v>33</v>
      </c>
      <c r="W37" s="317" t="s">
        <v>33</v>
      </c>
      <c r="X37" s="317" t="s">
        <v>33</v>
      </c>
      <c r="Y37" s="317" t="s">
        <v>33</v>
      </c>
      <c r="Z37" s="317" t="s">
        <v>33</v>
      </c>
      <c r="AA37" s="317" t="s">
        <v>33</v>
      </c>
      <c r="AB37" s="317" t="s">
        <v>33</v>
      </c>
      <c r="AC37" s="317" t="s">
        <v>33</v>
      </c>
      <c r="AD37" s="317" t="s">
        <v>33</v>
      </c>
      <c r="AE37" s="317" t="s">
        <v>33</v>
      </c>
      <c r="AF37" s="317" t="s">
        <v>33</v>
      </c>
      <c r="AG37" s="317" t="s">
        <v>33</v>
      </c>
      <c r="AH37" s="317" t="s">
        <v>33</v>
      </c>
      <c r="AI37" s="317" t="s">
        <v>33</v>
      </c>
      <c r="AJ37" s="317" t="s">
        <v>33</v>
      </c>
      <c r="AK37" s="317" t="s">
        <v>33</v>
      </c>
      <c r="AL37" s="317" t="s">
        <v>33</v>
      </c>
      <c r="AM37" s="317" t="s">
        <v>33</v>
      </c>
      <c r="AN37" s="317" t="s">
        <v>33</v>
      </c>
    </row>
    <row r="38" spans="1:40" s="129" customFormat="1" outlineLevel="1" x14ac:dyDescent="0.25">
      <c r="A38" s="13" t="s">
        <v>620</v>
      </c>
      <c r="B38" s="210" t="s">
        <v>621</v>
      </c>
      <c r="C38" s="201" t="s">
        <v>644</v>
      </c>
      <c r="D38" s="317" t="s">
        <v>33</v>
      </c>
      <c r="E38" s="317" t="s">
        <v>33</v>
      </c>
      <c r="F38" s="317" t="s">
        <v>33</v>
      </c>
      <c r="G38" s="317" t="s">
        <v>33</v>
      </c>
      <c r="H38" s="317" t="s">
        <v>33</v>
      </c>
      <c r="I38" s="317" t="s">
        <v>33</v>
      </c>
      <c r="J38" s="317" t="s">
        <v>33</v>
      </c>
      <c r="K38" s="317" t="s">
        <v>33</v>
      </c>
      <c r="L38" s="317" t="s">
        <v>33</v>
      </c>
      <c r="M38" s="317" t="s">
        <v>33</v>
      </c>
      <c r="N38" s="317" t="s">
        <v>33</v>
      </c>
      <c r="O38" s="317" t="s">
        <v>33</v>
      </c>
      <c r="P38" s="317" t="s">
        <v>33</v>
      </c>
      <c r="Q38" s="317" t="s">
        <v>33</v>
      </c>
      <c r="R38" s="317" t="s">
        <v>33</v>
      </c>
      <c r="S38" s="317" t="s">
        <v>33</v>
      </c>
      <c r="T38" s="317" t="s">
        <v>33</v>
      </c>
      <c r="U38" s="317" t="s">
        <v>33</v>
      </c>
      <c r="V38" s="317" t="s">
        <v>33</v>
      </c>
      <c r="W38" s="317" t="s">
        <v>33</v>
      </c>
      <c r="X38" s="317" t="s">
        <v>33</v>
      </c>
      <c r="Y38" s="317" t="s">
        <v>33</v>
      </c>
      <c r="Z38" s="516">
        <f>Ф4!BY38</f>
        <v>4.5097833280740725</v>
      </c>
      <c r="AA38" s="517" t="s">
        <v>33</v>
      </c>
      <c r="AB38" s="517" t="s">
        <v>33</v>
      </c>
      <c r="AC38" s="517" t="s">
        <v>33</v>
      </c>
      <c r="AD38" s="517" t="s">
        <v>33</v>
      </c>
      <c r="AE38" s="519">
        <f>Ф4!CD38</f>
        <v>201</v>
      </c>
      <c r="AF38" s="517" t="s">
        <v>33</v>
      </c>
      <c r="AG38" s="517" t="s">
        <v>33</v>
      </c>
      <c r="AH38" s="516">
        <f t="shared" ref="AH38:AN38" si="13">Z38</f>
        <v>4.5097833280740725</v>
      </c>
      <c r="AI38" s="516" t="str">
        <f t="shared" si="13"/>
        <v>нд</v>
      </c>
      <c r="AJ38" s="516" t="str">
        <f t="shared" si="13"/>
        <v>нд</v>
      </c>
      <c r="AK38" s="516" t="str">
        <f t="shared" si="13"/>
        <v>нд</v>
      </c>
      <c r="AL38" s="516" t="str">
        <f t="shared" si="13"/>
        <v>нд</v>
      </c>
      <c r="AM38" s="519">
        <f t="shared" si="13"/>
        <v>201</v>
      </c>
      <c r="AN38" s="516" t="str">
        <f t="shared" si="13"/>
        <v>нд</v>
      </c>
    </row>
    <row r="39" spans="1:40" s="129" customFormat="1" outlineLevel="1" x14ac:dyDescent="0.25">
      <c r="A39" s="13" t="s">
        <v>1339</v>
      </c>
      <c r="B39" s="210" t="s">
        <v>621</v>
      </c>
      <c r="C39" s="201" t="s">
        <v>645</v>
      </c>
      <c r="D39" s="317" t="s">
        <v>33</v>
      </c>
      <c r="E39" s="317" t="s">
        <v>33</v>
      </c>
      <c r="F39" s="317" t="s">
        <v>33</v>
      </c>
      <c r="G39" s="317" t="s">
        <v>33</v>
      </c>
      <c r="H39" s="317" t="s">
        <v>33</v>
      </c>
      <c r="I39" s="317" t="s">
        <v>33</v>
      </c>
      <c r="J39" s="317" t="s">
        <v>33</v>
      </c>
      <c r="K39" s="317" t="s">
        <v>33</v>
      </c>
      <c r="L39" s="317" t="s">
        <v>33</v>
      </c>
      <c r="M39" s="317" t="s">
        <v>33</v>
      </c>
      <c r="N39" s="317" t="s">
        <v>33</v>
      </c>
      <c r="O39" s="317" t="s">
        <v>33</v>
      </c>
      <c r="P39" s="317" t="s">
        <v>33</v>
      </c>
      <c r="Q39" s="317" t="s">
        <v>33</v>
      </c>
      <c r="R39" s="317" t="s">
        <v>33</v>
      </c>
      <c r="S39" s="317" t="s">
        <v>33</v>
      </c>
      <c r="T39" s="317" t="s">
        <v>33</v>
      </c>
      <c r="U39" s="317" t="s">
        <v>33</v>
      </c>
      <c r="V39" s="317" t="s">
        <v>33</v>
      </c>
      <c r="W39" s="317" t="s">
        <v>33</v>
      </c>
      <c r="X39" s="317" t="s">
        <v>33</v>
      </c>
      <c r="Y39" s="317" t="s">
        <v>33</v>
      </c>
      <c r="Z39" s="317" t="s">
        <v>33</v>
      </c>
      <c r="AA39" s="317" t="s">
        <v>33</v>
      </c>
      <c r="AB39" s="317" t="s">
        <v>33</v>
      </c>
      <c r="AC39" s="317" t="s">
        <v>33</v>
      </c>
      <c r="AD39" s="317" t="s">
        <v>33</v>
      </c>
      <c r="AE39" s="317" t="s">
        <v>33</v>
      </c>
      <c r="AF39" s="317" t="s">
        <v>33</v>
      </c>
      <c r="AG39" s="317" t="s">
        <v>33</v>
      </c>
      <c r="AH39" s="317" t="s">
        <v>33</v>
      </c>
      <c r="AI39" s="317" t="s">
        <v>33</v>
      </c>
      <c r="AJ39" s="317" t="s">
        <v>33</v>
      </c>
      <c r="AK39" s="317" t="s">
        <v>33</v>
      </c>
      <c r="AL39" s="317" t="s">
        <v>33</v>
      </c>
      <c r="AM39" s="317" t="s">
        <v>33</v>
      </c>
      <c r="AN39" s="317" t="s">
        <v>33</v>
      </c>
    </row>
    <row r="40" spans="1:40" s="178" customFormat="1" x14ac:dyDescent="0.25">
      <c r="A40" s="18" t="s">
        <v>466</v>
      </c>
      <c r="B40" s="168" t="s">
        <v>467</v>
      </c>
      <c r="C40" s="320" t="s">
        <v>33</v>
      </c>
      <c r="D40" s="320" t="s">
        <v>33</v>
      </c>
      <c r="E40" s="320" t="s">
        <v>33</v>
      </c>
      <c r="F40" s="320" t="s">
        <v>33</v>
      </c>
      <c r="G40" s="320" t="s">
        <v>33</v>
      </c>
      <c r="H40" s="320" t="s">
        <v>33</v>
      </c>
      <c r="I40" s="320" t="s">
        <v>33</v>
      </c>
      <c r="J40" s="320" t="s">
        <v>33</v>
      </c>
      <c r="K40" s="320" t="s">
        <v>33</v>
      </c>
      <c r="L40" s="320" t="s">
        <v>33</v>
      </c>
      <c r="M40" s="320" t="s">
        <v>33</v>
      </c>
      <c r="N40" s="320" t="s">
        <v>33</v>
      </c>
      <c r="O40" s="320" t="s">
        <v>33</v>
      </c>
      <c r="P40" s="320" t="s">
        <v>33</v>
      </c>
      <c r="Q40" s="320" t="s">
        <v>33</v>
      </c>
      <c r="R40" s="320" t="s">
        <v>33</v>
      </c>
      <c r="S40" s="320" t="s">
        <v>33</v>
      </c>
      <c r="T40" s="320" t="s">
        <v>33</v>
      </c>
      <c r="U40" s="320" t="s">
        <v>33</v>
      </c>
      <c r="V40" s="320" t="s">
        <v>33</v>
      </c>
      <c r="W40" s="320" t="s">
        <v>33</v>
      </c>
      <c r="X40" s="320" t="s">
        <v>33</v>
      </c>
      <c r="Y40" s="320" t="s">
        <v>33</v>
      </c>
      <c r="Z40" s="329">
        <f t="shared" ref="Z40:AN40" si="14">SUM(Z41:Z43)</f>
        <v>5.0103491006525251</v>
      </c>
      <c r="AA40" s="320" t="s">
        <v>33</v>
      </c>
      <c r="AB40" s="320" t="s">
        <v>33</v>
      </c>
      <c r="AC40" s="320" t="s">
        <v>33</v>
      </c>
      <c r="AD40" s="320" t="s">
        <v>33</v>
      </c>
      <c r="AE40" s="320" t="s">
        <v>33</v>
      </c>
      <c r="AF40" s="233">
        <f t="shared" si="14"/>
        <v>1</v>
      </c>
      <c r="AG40" s="324" t="s">
        <v>33</v>
      </c>
      <c r="AH40" s="329">
        <f t="shared" si="14"/>
        <v>5.0103491006525251</v>
      </c>
      <c r="AI40" s="324" t="s">
        <v>33</v>
      </c>
      <c r="AJ40" s="324" t="s">
        <v>33</v>
      </c>
      <c r="AK40" s="324" t="s">
        <v>33</v>
      </c>
      <c r="AL40" s="324" t="s">
        <v>33</v>
      </c>
      <c r="AM40" s="324" t="s">
        <v>33</v>
      </c>
      <c r="AN40" s="233">
        <f t="shared" si="14"/>
        <v>1</v>
      </c>
    </row>
    <row r="41" spans="1:40" s="189" customFormat="1" x14ac:dyDescent="0.25">
      <c r="A41" s="187" t="s">
        <v>468</v>
      </c>
      <c r="B41" s="399" t="s">
        <v>623</v>
      </c>
      <c r="C41" s="201" t="s">
        <v>1352</v>
      </c>
      <c r="D41" s="316" t="s">
        <v>33</v>
      </c>
      <c r="E41" s="316" t="s">
        <v>33</v>
      </c>
      <c r="F41" s="316" t="s">
        <v>33</v>
      </c>
      <c r="G41" s="316" t="s">
        <v>33</v>
      </c>
      <c r="H41" s="316" t="s">
        <v>33</v>
      </c>
      <c r="I41" s="316" t="s">
        <v>33</v>
      </c>
      <c r="J41" s="316" t="s">
        <v>33</v>
      </c>
      <c r="K41" s="316" t="s">
        <v>33</v>
      </c>
      <c r="L41" s="316" t="s">
        <v>33</v>
      </c>
      <c r="M41" s="316" t="s">
        <v>33</v>
      </c>
      <c r="N41" s="316" t="s">
        <v>33</v>
      </c>
      <c r="O41" s="316" t="s">
        <v>33</v>
      </c>
      <c r="P41" s="316" t="s">
        <v>33</v>
      </c>
      <c r="Q41" s="316" t="s">
        <v>33</v>
      </c>
      <c r="R41" s="316" t="s">
        <v>33</v>
      </c>
      <c r="S41" s="316" t="s">
        <v>33</v>
      </c>
      <c r="T41" s="316" t="s">
        <v>33</v>
      </c>
      <c r="U41" s="316" t="s">
        <v>33</v>
      </c>
      <c r="V41" s="316" t="s">
        <v>33</v>
      </c>
      <c r="W41" s="316" t="s">
        <v>33</v>
      </c>
      <c r="X41" s="316" t="s">
        <v>33</v>
      </c>
      <c r="Y41" s="316" t="s">
        <v>33</v>
      </c>
      <c r="Z41" s="316" t="s">
        <v>33</v>
      </c>
      <c r="AA41" s="316" t="s">
        <v>33</v>
      </c>
      <c r="AB41" s="316" t="s">
        <v>33</v>
      </c>
      <c r="AC41" s="316" t="s">
        <v>33</v>
      </c>
      <c r="AD41" s="316" t="s">
        <v>33</v>
      </c>
      <c r="AE41" s="316" t="s">
        <v>33</v>
      </c>
      <c r="AF41" s="316" t="s">
        <v>33</v>
      </c>
      <c r="AG41" s="316" t="s">
        <v>33</v>
      </c>
      <c r="AH41" s="316" t="s">
        <v>33</v>
      </c>
      <c r="AI41" s="316" t="s">
        <v>33</v>
      </c>
      <c r="AJ41" s="316" t="s">
        <v>33</v>
      </c>
      <c r="AK41" s="316" t="s">
        <v>33</v>
      </c>
      <c r="AL41" s="316" t="s">
        <v>33</v>
      </c>
      <c r="AM41" s="316" t="s">
        <v>33</v>
      </c>
      <c r="AN41" s="316" t="s">
        <v>33</v>
      </c>
    </row>
    <row r="42" spans="1:40" s="189" customFormat="1" x14ac:dyDescent="0.25">
      <c r="A42" s="187" t="s">
        <v>622</v>
      </c>
      <c r="B42" s="237" t="s">
        <v>1337</v>
      </c>
      <c r="C42" s="201" t="s">
        <v>1353</v>
      </c>
      <c r="D42" s="316" t="s">
        <v>33</v>
      </c>
      <c r="E42" s="316" t="s">
        <v>33</v>
      </c>
      <c r="F42" s="316" t="s">
        <v>33</v>
      </c>
      <c r="G42" s="316" t="s">
        <v>33</v>
      </c>
      <c r="H42" s="316" t="s">
        <v>33</v>
      </c>
      <c r="I42" s="316" t="s">
        <v>33</v>
      </c>
      <c r="J42" s="316" t="s">
        <v>33</v>
      </c>
      <c r="K42" s="316" t="s">
        <v>33</v>
      </c>
      <c r="L42" s="316" t="s">
        <v>33</v>
      </c>
      <c r="M42" s="316" t="s">
        <v>33</v>
      </c>
      <c r="N42" s="316" t="s">
        <v>33</v>
      </c>
      <c r="O42" s="316" t="s">
        <v>33</v>
      </c>
      <c r="P42" s="316" t="s">
        <v>33</v>
      </c>
      <c r="Q42" s="316" t="s">
        <v>33</v>
      </c>
      <c r="R42" s="316" t="s">
        <v>33</v>
      </c>
      <c r="S42" s="316" t="s">
        <v>33</v>
      </c>
      <c r="T42" s="316" t="s">
        <v>33</v>
      </c>
      <c r="U42" s="316" t="s">
        <v>33</v>
      </c>
      <c r="V42" s="316" t="s">
        <v>33</v>
      </c>
      <c r="W42" s="316" t="s">
        <v>33</v>
      </c>
      <c r="X42" s="316" t="s">
        <v>33</v>
      </c>
      <c r="Y42" s="316" t="s">
        <v>33</v>
      </c>
      <c r="Z42" s="316" t="s">
        <v>33</v>
      </c>
      <c r="AA42" s="316" t="s">
        <v>33</v>
      </c>
      <c r="AB42" s="316" t="s">
        <v>33</v>
      </c>
      <c r="AC42" s="316" t="s">
        <v>33</v>
      </c>
      <c r="AD42" s="316" t="s">
        <v>33</v>
      </c>
      <c r="AE42" s="316" t="s">
        <v>33</v>
      </c>
      <c r="AF42" s="316" t="s">
        <v>33</v>
      </c>
      <c r="AG42" s="316" t="s">
        <v>33</v>
      </c>
      <c r="AH42" s="316" t="s">
        <v>33</v>
      </c>
      <c r="AI42" s="316" t="s">
        <v>33</v>
      </c>
      <c r="AJ42" s="316" t="s">
        <v>33</v>
      </c>
      <c r="AK42" s="316" t="s">
        <v>33</v>
      </c>
      <c r="AL42" s="316" t="s">
        <v>33</v>
      </c>
      <c r="AM42" s="316" t="s">
        <v>33</v>
      </c>
      <c r="AN42" s="316" t="s">
        <v>33</v>
      </c>
    </row>
    <row r="43" spans="1:40" s="189" customFormat="1" x14ac:dyDescent="0.25">
      <c r="A43" s="187" t="s">
        <v>1335</v>
      </c>
      <c r="B43" s="399" t="s">
        <v>624</v>
      </c>
      <c r="C43" s="201" t="s">
        <v>646</v>
      </c>
      <c r="D43" s="316" t="s">
        <v>33</v>
      </c>
      <c r="E43" s="316" t="s">
        <v>33</v>
      </c>
      <c r="F43" s="316" t="s">
        <v>33</v>
      </c>
      <c r="G43" s="316" t="s">
        <v>33</v>
      </c>
      <c r="H43" s="316" t="s">
        <v>33</v>
      </c>
      <c r="I43" s="316" t="s">
        <v>33</v>
      </c>
      <c r="J43" s="316" t="s">
        <v>33</v>
      </c>
      <c r="K43" s="316" t="s">
        <v>33</v>
      </c>
      <c r="L43" s="316" t="s">
        <v>33</v>
      </c>
      <c r="M43" s="316" t="s">
        <v>33</v>
      </c>
      <c r="N43" s="316" t="s">
        <v>33</v>
      </c>
      <c r="O43" s="316" t="s">
        <v>33</v>
      </c>
      <c r="P43" s="316" t="s">
        <v>33</v>
      </c>
      <c r="Q43" s="316" t="s">
        <v>33</v>
      </c>
      <c r="R43" s="316" t="s">
        <v>33</v>
      </c>
      <c r="S43" s="316" t="s">
        <v>33</v>
      </c>
      <c r="T43" s="316" t="s">
        <v>33</v>
      </c>
      <c r="U43" s="316" t="s">
        <v>33</v>
      </c>
      <c r="V43" s="316" t="s">
        <v>33</v>
      </c>
      <c r="W43" s="316" t="s">
        <v>33</v>
      </c>
      <c r="X43" s="316" t="s">
        <v>33</v>
      </c>
      <c r="Y43" s="316" t="s">
        <v>33</v>
      </c>
      <c r="Z43" s="525">
        <f>Ф4!BQ43</f>
        <v>5.0103491006525251</v>
      </c>
      <c r="AA43" s="521" t="s">
        <v>33</v>
      </c>
      <c r="AB43" s="521" t="s">
        <v>33</v>
      </c>
      <c r="AC43" s="521" t="s">
        <v>33</v>
      </c>
      <c r="AD43" s="521" t="s">
        <v>33</v>
      </c>
      <c r="AE43" s="521" t="s">
        <v>33</v>
      </c>
      <c r="AF43" s="526">
        <f>Ф4!BW43</f>
        <v>1</v>
      </c>
      <c r="AG43" s="521" t="s">
        <v>33</v>
      </c>
      <c r="AH43" s="527">
        <f>Z43</f>
        <v>5.0103491006525251</v>
      </c>
      <c r="AI43" s="521" t="s">
        <v>33</v>
      </c>
      <c r="AJ43" s="521" t="s">
        <v>33</v>
      </c>
      <c r="AK43" s="521" t="s">
        <v>33</v>
      </c>
      <c r="AL43" s="521" t="s">
        <v>33</v>
      </c>
      <c r="AM43" s="521" t="s">
        <v>33</v>
      </c>
      <c r="AN43" s="526">
        <f>AF43</f>
        <v>1</v>
      </c>
    </row>
    <row r="46" spans="1:40" ht="18.75" x14ac:dyDescent="0.25">
      <c r="B46" s="170" t="s">
        <v>52</v>
      </c>
      <c r="C46" s="171"/>
      <c r="D46" s="171"/>
      <c r="E46" s="171" t="s">
        <v>1325</v>
      </c>
    </row>
    <row r="47" spans="1:40" ht="18.75" x14ac:dyDescent="0.25">
      <c r="B47" s="170"/>
      <c r="C47" s="171"/>
      <c r="D47" s="171"/>
      <c r="E47" s="171"/>
    </row>
    <row r="48" spans="1:40" ht="18.75" x14ac:dyDescent="0.25">
      <c r="B48" s="170"/>
      <c r="C48" s="171"/>
      <c r="D48" s="171"/>
      <c r="E48" s="171"/>
    </row>
    <row r="51" spans="1:34" s="30" customFormat="1" x14ac:dyDescent="0.25">
      <c r="A51" s="633" t="s">
        <v>156</v>
      </c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87"/>
      <c r="R51" s="214"/>
      <c r="S51" s="214"/>
      <c r="T51" s="214"/>
      <c r="U51" s="214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1:34" s="30" customFormat="1" x14ac:dyDescent="0.25">
      <c r="A52" s="616" t="s">
        <v>157</v>
      </c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89"/>
      <c r="R52" s="213"/>
      <c r="S52" s="213"/>
      <c r="T52" s="213"/>
      <c r="U52" s="213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1:34" s="30" customFormat="1" x14ac:dyDescent="0.25">
      <c r="A53" s="616" t="s">
        <v>158</v>
      </c>
      <c r="B53" s="616"/>
      <c r="C53" s="616"/>
      <c r="D53" s="616"/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89"/>
      <c r="R53" s="213"/>
      <c r="S53" s="213"/>
      <c r="T53" s="213"/>
      <c r="U53" s="213"/>
      <c r="Y53" s="88"/>
      <c r="Z53" s="88"/>
      <c r="AA53" s="88"/>
      <c r="AB53" s="88"/>
      <c r="AC53" s="88"/>
      <c r="AD53" s="88"/>
      <c r="AE53" s="88"/>
      <c r="AF53" s="88"/>
      <c r="AG53" s="88"/>
      <c r="AH53" s="88"/>
    </row>
    <row r="54" spans="1:34" s="30" customFormat="1" x14ac:dyDescent="0.25">
      <c r="A54" s="616" t="s">
        <v>159</v>
      </c>
      <c r="B54" s="616"/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89"/>
      <c r="R54" s="213"/>
      <c r="S54" s="213"/>
      <c r="T54" s="213"/>
      <c r="U54" s="213"/>
      <c r="Y54" s="88"/>
      <c r="Z54" s="88"/>
      <c r="AA54" s="88"/>
      <c r="AB54" s="88"/>
      <c r="AC54" s="88"/>
      <c r="AD54" s="88"/>
      <c r="AE54" s="88"/>
      <c r="AF54" s="88"/>
      <c r="AG54" s="88"/>
      <c r="AH54" s="88"/>
    </row>
  </sheetData>
  <mergeCells count="25">
    <mergeCell ref="A1:AN1"/>
    <mergeCell ref="A2:AN2"/>
    <mergeCell ref="A4:AN4"/>
    <mergeCell ref="A5:AN5"/>
    <mergeCell ref="A7:AN7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51:P51"/>
    <mergeCell ref="A52:P52"/>
    <mergeCell ref="A53:P53"/>
    <mergeCell ref="A54:P54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N54"/>
  <sheetViews>
    <sheetView zoomScale="75" zoomScaleNormal="75" workbookViewId="0">
      <selection activeCell="B22" sqref="B22"/>
    </sheetView>
  </sheetViews>
  <sheetFormatPr defaultColWidth="8.85546875" defaultRowHeight="15.75" outlineLevelRow="1" x14ac:dyDescent="0.25"/>
  <cols>
    <col min="1" max="1" width="10" style="14" customWidth="1"/>
    <col min="2" max="2" width="75.42578125" customWidth="1"/>
    <col min="3" max="3" width="11.28515625" customWidth="1"/>
    <col min="4" max="4" width="9.42578125" customWidth="1"/>
    <col min="5" max="5" width="6.85546875" style="33" customWidth="1"/>
    <col min="6" max="6" width="5.5703125" style="33" customWidth="1"/>
    <col min="7" max="9" width="5.5703125" customWidth="1"/>
    <col min="10" max="10" width="5.5703125" style="35" customWidth="1"/>
    <col min="11" max="11" width="9.28515625" customWidth="1"/>
    <col min="12" max="12" width="6.85546875" customWidth="1"/>
    <col min="13" max="13" width="5.5703125" style="35" customWidth="1"/>
    <col min="14" max="17" width="5.5703125" customWidth="1"/>
    <col min="18" max="18" width="9.42578125" customWidth="1"/>
    <col min="19" max="19" width="6.7109375" customWidth="1"/>
    <col min="20" max="24" width="5.42578125" customWidth="1"/>
    <col min="25" max="25" width="9.5703125" customWidth="1"/>
    <col min="26" max="26" width="10" bestFit="1" customWidth="1"/>
    <col min="27" max="27" width="6.7109375" bestFit="1" customWidth="1"/>
    <col min="28" max="28" width="4.85546875" customWidth="1"/>
    <col min="29" max="29" width="6.7109375" bestFit="1" customWidth="1"/>
    <col min="30" max="30" width="4.5703125" customWidth="1"/>
    <col min="31" max="31" width="6.7109375" customWidth="1"/>
    <col min="32" max="32" width="6.7109375" bestFit="1" customWidth="1"/>
    <col min="33" max="33" width="9.28515625" customWidth="1"/>
    <col min="34" max="34" width="10.42578125" customWidth="1"/>
    <col min="35" max="35" width="6.7109375" bestFit="1" customWidth="1"/>
    <col min="36" max="36" width="5.5703125" customWidth="1"/>
    <col min="37" max="37" width="6.7109375" bestFit="1" customWidth="1"/>
    <col min="38" max="38" width="5" customWidth="1"/>
    <col min="39" max="39" width="6.7109375" customWidth="1"/>
    <col min="40" max="40" width="6.7109375" bestFit="1" customWidth="1"/>
  </cols>
  <sheetData>
    <row r="1" spans="1:40" s="30" customFormat="1" ht="18.75" x14ac:dyDescent="0.3">
      <c r="A1" s="653" t="s">
        <v>260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653"/>
      <c r="AK1" s="653"/>
      <c r="AL1" s="653"/>
      <c r="AM1" s="653"/>
      <c r="AN1" s="653"/>
    </row>
    <row r="2" spans="1:40" s="30" customFormat="1" ht="18.75" x14ac:dyDescent="0.3">
      <c r="A2" s="604" t="s">
        <v>679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  <c r="AF2" s="604"/>
      <c r="AG2" s="604"/>
      <c r="AH2" s="604"/>
      <c r="AI2" s="604"/>
      <c r="AJ2" s="604"/>
      <c r="AK2" s="604"/>
      <c r="AL2" s="604"/>
      <c r="AM2" s="604"/>
      <c r="AN2" s="604"/>
    </row>
    <row r="3" spans="1:40" s="30" customForma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</row>
    <row r="4" spans="1:40" s="30" customFormat="1" ht="18.75" x14ac:dyDescent="0.25">
      <c r="A4" s="599" t="s">
        <v>75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</row>
    <row r="5" spans="1:40" s="30" customFormat="1" x14ac:dyDescent="0.25">
      <c r="A5" s="605" t="s">
        <v>76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</row>
    <row r="6" spans="1:40" s="30" customFormat="1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</row>
    <row r="7" spans="1:40" s="30" customFormat="1" x14ac:dyDescent="0.25">
      <c r="A7" s="600" t="s">
        <v>1370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</row>
    <row r="8" spans="1:40" s="30" customFormat="1" ht="18.75" x14ac:dyDescent="0.3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</row>
    <row r="9" spans="1:40" s="30" customFormat="1" ht="18.75" x14ac:dyDescent="0.25">
      <c r="A9" s="108"/>
      <c r="B9" s="108"/>
      <c r="D9" s="528" t="s">
        <v>1346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</row>
    <row r="10" spans="1:40" s="30" customFormat="1" x14ac:dyDescent="0.25">
      <c r="A10" s="648" t="s">
        <v>174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</row>
    <row r="11" spans="1:40" s="30" customFormat="1" x14ac:dyDescent="0.25">
      <c r="A11" s="652"/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</row>
    <row r="12" spans="1:40" s="30" customFormat="1" x14ac:dyDescent="0.25">
      <c r="A12" s="651" t="s">
        <v>3</v>
      </c>
      <c r="B12" s="651" t="s">
        <v>4</v>
      </c>
      <c r="C12" s="651" t="s">
        <v>5</v>
      </c>
      <c r="D12" s="650" t="s">
        <v>261</v>
      </c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</row>
    <row r="13" spans="1:40" s="30" customFormat="1" x14ac:dyDescent="0.25">
      <c r="A13" s="651"/>
      <c r="B13" s="651"/>
      <c r="C13" s="651"/>
      <c r="D13" s="650" t="s">
        <v>262</v>
      </c>
      <c r="E13" s="650"/>
      <c r="F13" s="650"/>
      <c r="G13" s="650"/>
      <c r="H13" s="650"/>
      <c r="I13" s="650"/>
      <c r="J13" s="650"/>
      <c r="K13" s="650" t="s">
        <v>263</v>
      </c>
      <c r="L13" s="650"/>
      <c r="M13" s="650"/>
      <c r="N13" s="650"/>
      <c r="O13" s="650"/>
      <c r="P13" s="650"/>
      <c r="Q13" s="650"/>
      <c r="R13" s="650" t="s">
        <v>264</v>
      </c>
      <c r="S13" s="650"/>
      <c r="T13" s="650"/>
      <c r="U13" s="650"/>
      <c r="V13" s="650"/>
      <c r="W13" s="650"/>
      <c r="X13" s="650"/>
      <c r="Y13" s="650" t="s">
        <v>265</v>
      </c>
      <c r="Z13" s="650"/>
      <c r="AA13" s="650"/>
      <c r="AB13" s="650"/>
      <c r="AC13" s="650"/>
      <c r="AD13" s="650"/>
      <c r="AE13" s="650"/>
      <c r="AF13" s="650"/>
      <c r="AG13" s="651" t="s">
        <v>266</v>
      </c>
      <c r="AH13" s="651"/>
      <c r="AI13" s="651"/>
      <c r="AJ13" s="651"/>
      <c r="AK13" s="651"/>
      <c r="AL13" s="651"/>
      <c r="AM13" s="651"/>
      <c r="AN13" s="651"/>
    </row>
    <row r="14" spans="1:40" s="30" customFormat="1" ht="49.5" customHeight="1" x14ac:dyDescent="0.25">
      <c r="A14" s="651"/>
      <c r="B14" s="651"/>
      <c r="C14" s="651"/>
      <c r="D14" s="218" t="s">
        <v>181</v>
      </c>
      <c r="E14" s="650" t="s">
        <v>182</v>
      </c>
      <c r="F14" s="650"/>
      <c r="G14" s="650"/>
      <c r="H14" s="650"/>
      <c r="I14" s="650"/>
      <c r="J14" s="650"/>
      <c r="K14" s="218" t="s">
        <v>181</v>
      </c>
      <c r="L14" s="651" t="s">
        <v>182</v>
      </c>
      <c r="M14" s="651"/>
      <c r="N14" s="651"/>
      <c r="O14" s="651"/>
      <c r="P14" s="651"/>
      <c r="Q14" s="651"/>
      <c r="R14" s="218" t="s">
        <v>181</v>
      </c>
      <c r="S14" s="651" t="s">
        <v>182</v>
      </c>
      <c r="T14" s="651"/>
      <c r="U14" s="651"/>
      <c r="V14" s="651"/>
      <c r="W14" s="651"/>
      <c r="X14" s="651"/>
      <c r="Y14" s="218" t="s">
        <v>181</v>
      </c>
      <c r="Z14" s="651" t="s">
        <v>182</v>
      </c>
      <c r="AA14" s="651"/>
      <c r="AB14" s="651"/>
      <c r="AC14" s="651"/>
      <c r="AD14" s="651"/>
      <c r="AE14" s="651"/>
      <c r="AF14" s="651"/>
      <c r="AG14" s="218" t="s">
        <v>181</v>
      </c>
      <c r="AH14" s="651" t="s">
        <v>182</v>
      </c>
      <c r="AI14" s="651"/>
      <c r="AJ14" s="651"/>
      <c r="AK14" s="651"/>
      <c r="AL14" s="651"/>
      <c r="AM14" s="651"/>
      <c r="AN14" s="651"/>
    </row>
    <row r="15" spans="1:40" s="30" customFormat="1" ht="66" x14ac:dyDescent="0.25">
      <c r="A15" s="651"/>
      <c r="B15" s="651"/>
      <c r="C15" s="651"/>
      <c r="D15" s="215" t="s">
        <v>183</v>
      </c>
      <c r="E15" s="215" t="s">
        <v>183</v>
      </c>
      <c r="F15" s="216" t="s">
        <v>184</v>
      </c>
      <c r="G15" s="216" t="s">
        <v>185</v>
      </c>
      <c r="H15" s="216" t="s">
        <v>186</v>
      </c>
      <c r="I15" s="216" t="s">
        <v>187</v>
      </c>
      <c r="J15" s="216" t="s">
        <v>188</v>
      </c>
      <c r="K15" s="215" t="s">
        <v>183</v>
      </c>
      <c r="L15" s="215" t="s">
        <v>183</v>
      </c>
      <c r="M15" s="216" t="s">
        <v>184</v>
      </c>
      <c r="N15" s="216" t="s">
        <v>185</v>
      </c>
      <c r="O15" s="216" t="s">
        <v>186</v>
      </c>
      <c r="P15" s="216" t="s">
        <v>187</v>
      </c>
      <c r="Q15" s="216" t="s">
        <v>188</v>
      </c>
      <c r="R15" s="215" t="s">
        <v>183</v>
      </c>
      <c r="S15" s="215" t="s">
        <v>183</v>
      </c>
      <c r="T15" s="216" t="s">
        <v>184</v>
      </c>
      <c r="U15" s="216" t="s">
        <v>185</v>
      </c>
      <c r="V15" s="216" t="s">
        <v>186</v>
      </c>
      <c r="W15" s="216" t="s">
        <v>187</v>
      </c>
      <c r="X15" s="216" t="s">
        <v>188</v>
      </c>
      <c r="Y15" s="215" t="s">
        <v>183</v>
      </c>
      <c r="Z15" s="215" t="s">
        <v>183</v>
      </c>
      <c r="AA15" s="216" t="s">
        <v>184</v>
      </c>
      <c r="AB15" s="216" t="s">
        <v>185</v>
      </c>
      <c r="AC15" s="216" t="s">
        <v>186</v>
      </c>
      <c r="AD15" s="216" t="s">
        <v>187</v>
      </c>
      <c r="AE15" s="216" t="s">
        <v>506</v>
      </c>
      <c r="AF15" s="216" t="s">
        <v>507</v>
      </c>
      <c r="AG15" s="215" t="s">
        <v>183</v>
      </c>
      <c r="AH15" s="215" t="s">
        <v>183</v>
      </c>
      <c r="AI15" s="216" t="s">
        <v>184</v>
      </c>
      <c r="AJ15" s="216" t="s">
        <v>185</v>
      </c>
      <c r="AK15" s="216" t="s">
        <v>186</v>
      </c>
      <c r="AL15" s="216" t="s">
        <v>187</v>
      </c>
      <c r="AM15" s="216" t="s">
        <v>506</v>
      </c>
      <c r="AN15" s="216" t="s">
        <v>507</v>
      </c>
    </row>
    <row r="16" spans="1:40" s="30" customFormat="1" x14ac:dyDescent="0.25">
      <c r="A16" s="217">
        <v>1</v>
      </c>
      <c r="B16" s="217">
        <v>2</v>
      </c>
      <c r="C16" s="217">
        <v>3</v>
      </c>
      <c r="D16" s="116" t="s">
        <v>267</v>
      </c>
      <c r="E16" s="116" t="s">
        <v>268</v>
      </c>
      <c r="F16" s="116" t="s">
        <v>269</v>
      </c>
      <c r="G16" s="116" t="s">
        <v>270</v>
      </c>
      <c r="H16" s="116" t="s">
        <v>271</v>
      </c>
      <c r="I16" s="116" t="s">
        <v>272</v>
      </c>
      <c r="J16" s="116" t="s">
        <v>273</v>
      </c>
      <c r="K16" s="116" t="s">
        <v>274</v>
      </c>
      <c r="L16" s="116" t="s">
        <v>275</v>
      </c>
      <c r="M16" s="116" t="s">
        <v>276</v>
      </c>
      <c r="N16" s="116" t="s">
        <v>277</v>
      </c>
      <c r="O16" s="116" t="s">
        <v>278</v>
      </c>
      <c r="P16" s="116" t="s">
        <v>279</v>
      </c>
      <c r="Q16" s="116" t="s">
        <v>280</v>
      </c>
      <c r="R16" s="116" t="s">
        <v>281</v>
      </c>
      <c r="S16" s="116" t="s">
        <v>282</v>
      </c>
      <c r="T16" s="116" t="s">
        <v>283</v>
      </c>
      <c r="U16" s="116" t="s">
        <v>284</v>
      </c>
      <c r="V16" s="116" t="s">
        <v>285</v>
      </c>
      <c r="W16" s="116" t="s">
        <v>286</v>
      </c>
      <c r="X16" s="116" t="s">
        <v>287</v>
      </c>
      <c r="Y16" s="116" t="s">
        <v>288</v>
      </c>
      <c r="Z16" s="116" t="s">
        <v>289</v>
      </c>
      <c r="AA16" s="116" t="s">
        <v>290</v>
      </c>
      <c r="AB16" s="116" t="s">
        <v>291</v>
      </c>
      <c r="AC16" s="116" t="s">
        <v>292</v>
      </c>
      <c r="AD16" s="116" t="s">
        <v>293</v>
      </c>
      <c r="AE16" s="116"/>
      <c r="AF16" s="116" t="s">
        <v>294</v>
      </c>
      <c r="AG16" s="116" t="s">
        <v>295</v>
      </c>
      <c r="AH16" s="116" t="s">
        <v>296</v>
      </c>
      <c r="AI16" s="116" t="s">
        <v>297</v>
      </c>
      <c r="AJ16" s="116" t="s">
        <v>298</v>
      </c>
      <c r="AK16" s="116" t="s">
        <v>259</v>
      </c>
      <c r="AL16" s="116" t="s">
        <v>299</v>
      </c>
      <c r="AM16" s="116"/>
      <c r="AN16" s="116" t="s">
        <v>300</v>
      </c>
    </row>
    <row r="17" spans="1:40" s="120" customFormat="1" x14ac:dyDescent="0.25">
      <c r="A17" s="118" t="s">
        <v>31</v>
      </c>
      <c r="B17" s="38" t="s">
        <v>32</v>
      </c>
      <c r="C17" s="119" t="str">
        <f>C18</f>
        <v>нд</v>
      </c>
      <c r="D17" s="119" t="str">
        <f>D18</f>
        <v>нд</v>
      </c>
      <c r="E17" s="119" t="str">
        <f t="shared" ref="E17:AN17" si="0">E18</f>
        <v>нд</v>
      </c>
      <c r="F17" s="119" t="str">
        <f t="shared" si="0"/>
        <v>нд</v>
      </c>
      <c r="G17" s="119" t="str">
        <f t="shared" si="0"/>
        <v>нд</v>
      </c>
      <c r="H17" s="119" t="str">
        <f t="shared" si="0"/>
        <v>нд</v>
      </c>
      <c r="I17" s="119" t="str">
        <f t="shared" si="0"/>
        <v>нд</v>
      </c>
      <c r="J17" s="119" t="str">
        <f t="shared" si="0"/>
        <v>нд</v>
      </c>
      <c r="K17" s="119" t="str">
        <f t="shared" si="0"/>
        <v>нд</v>
      </c>
      <c r="L17" s="119" t="str">
        <f t="shared" si="0"/>
        <v>нд</v>
      </c>
      <c r="M17" s="119" t="str">
        <f t="shared" si="0"/>
        <v>нд</v>
      </c>
      <c r="N17" s="119" t="str">
        <f t="shared" si="0"/>
        <v>нд</v>
      </c>
      <c r="O17" s="119" t="str">
        <f t="shared" si="0"/>
        <v>нд</v>
      </c>
      <c r="P17" s="119" t="str">
        <f t="shared" si="0"/>
        <v>нд</v>
      </c>
      <c r="Q17" s="119" t="str">
        <f t="shared" si="0"/>
        <v>нд</v>
      </c>
      <c r="R17" s="119" t="str">
        <f t="shared" si="0"/>
        <v>нд</v>
      </c>
      <c r="S17" s="119" t="str">
        <f t="shared" si="0"/>
        <v>нд</v>
      </c>
      <c r="T17" s="119" t="str">
        <f t="shared" si="0"/>
        <v>нд</v>
      </c>
      <c r="U17" s="119" t="str">
        <f t="shared" si="0"/>
        <v>нд</v>
      </c>
      <c r="V17" s="119" t="str">
        <f t="shared" si="0"/>
        <v>нд</v>
      </c>
      <c r="W17" s="119" t="str">
        <f t="shared" si="0"/>
        <v>нд</v>
      </c>
      <c r="X17" s="119" t="str">
        <f t="shared" si="0"/>
        <v>нд</v>
      </c>
      <c r="Y17" s="119" t="str">
        <f t="shared" si="0"/>
        <v>нд</v>
      </c>
      <c r="Z17" s="119">
        <f t="shared" si="0"/>
        <v>15.695688493870982</v>
      </c>
      <c r="AA17" s="119" t="str">
        <f t="shared" si="0"/>
        <v>нд</v>
      </c>
      <c r="AB17" s="119" t="str">
        <f t="shared" si="0"/>
        <v>нд</v>
      </c>
      <c r="AC17" s="119" t="str">
        <f t="shared" si="0"/>
        <v>нд</v>
      </c>
      <c r="AD17" s="119" t="str">
        <f t="shared" si="0"/>
        <v>нд</v>
      </c>
      <c r="AE17" s="231">
        <f t="shared" si="0"/>
        <v>213</v>
      </c>
      <c r="AF17" s="231" t="str">
        <f t="shared" si="0"/>
        <v>нд</v>
      </c>
      <c r="AG17" s="119" t="str">
        <f t="shared" si="0"/>
        <v>нд</v>
      </c>
      <c r="AH17" s="119">
        <f t="shared" si="0"/>
        <v>15.695688493870982</v>
      </c>
      <c r="AI17" s="119" t="str">
        <f t="shared" si="0"/>
        <v>нд</v>
      </c>
      <c r="AJ17" s="119" t="str">
        <f t="shared" si="0"/>
        <v>нд</v>
      </c>
      <c r="AK17" s="119" t="str">
        <f t="shared" si="0"/>
        <v>нд</v>
      </c>
      <c r="AL17" s="119" t="str">
        <f t="shared" si="0"/>
        <v>нд</v>
      </c>
      <c r="AM17" s="231">
        <f t="shared" si="0"/>
        <v>213</v>
      </c>
      <c r="AN17" s="231" t="str">
        <f t="shared" si="0"/>
        <v>нд</v>
      </c>
    </row>
    <row r="18" spans="1:40" s="123" customFormat="1" x14ac:dyDescent="0.25">
      <c r="A18" s="121" t="s">
        <v>55</v>
      </c>
      <c r="B18" s="9" t="s">
        <v>34</v>
      </c>
      <c r="C18" s="122" t="s">
        <v>33</v>
      </c>
      <c r="D18" s="122" t="s">
        <v>33</v>
      </c>
      <c r="E18" s="122" t="s">
        <v>33</v>
      </c>
      <c r="F18" s="122" t="s">
        <v>33</v>
      </c>
      <c r="G18" s="122" t="s">
        <v>33</v>
      </c>
      <c r="H18" s="122" t="s">
        <v>33</v>
      </c>
      <c r="I18" s="122" t="s">
        <v>33</v>
      </c>
      <c r="J18" s="122" t="s">
        <v>33</v>
      </c>
      <c r="K18" s="122" t="s">
        <v>33</v>
      </c>
      <c r="L18" s="122" t="s">
        <v>33</v>
      </c>
      <c r="M18" s="122" t="s">
        <v>33</v>
      </c>
      <c r="N18" s="122" t="s">
        <v>33</v>
      </c>
      <c r="O18" s="122" t="s">
        <v>33</v>
      </c>
      <c r="P18" s="122" t="s">
        <v>33</v>
      </c>
      <c r="Q18" s="122" t="s">
        <v>33</v>
      </c>
      <c r="R18" s="122" t="s">
        <v>33</v>
      </c>
      <c r="S18" s="122" t="s">
        <v>33</v>
      </c>
      <c r="T18" s="122" t="s">
        <v>33</v>
      </c>
      <c r="U18" s="122" t="s">
        <v>33</v>
      </c>
      <c r="V18" s="122" t="s">
        <v>33</v>
      </c>
      <c r="W18" s="122" t="s">
        <v>33</v>
      </c>
      <c r="X18" s="122" t="s">
        <v>33</v>
      </c>
      <c r="Y18" s="122" t="s">
        <v>33</v>
      </c>
      <c r="Z18" s="122">
        <f>Z19</f>
        <v>15.695688493870982</v>
      </c>
      <c r="AA18" s="122" t="s">
        <v>33</v>
      </c>
      <c r="AB18" s="122" t="s">
        <v>33</v>
      </c>
      <c r="AC18" s="122" t="s">
        <v>33</v>
      </c>
      <c r="AD18" s="122" t="s">
        <v>33</v>
      </c>
      <c r="AE18" s="232">
        <f>AE19</f>
        <v>213</v>
      </c>
      <c r="AF18" s="232" t="s">
        <v>33</v>
      </c>
      <c r="AG18" s="232" t="s">
        <v>33</v>
      </c>
      <c r="AH18" s="122">
        <f>AH19</f>
        <v>15.695688493870982</v>
      </c>
      <c r="AI18" s="232" t="s">
        <v>33</v>
      </c>
      <c r="AJ18" s="232" t="s">
        <v>33</v>
      </c>
      <c r="AK18" s="232" t="s">
        <v>33</v>
      </c>
      <c r="AL18" s="232" t="s">
        <v>33</v>
      </c>
      <c r="AM18" s="232">
        <f>AM19</f>
        <v>213</v>
      </c>
      <c r="AN18" s="232" t="s">
        <v>33</v>
      </c>
    </row>
    <row r="19" spans="1:40" s="120" customFormat="1" ht="31.5" x14ac:dyDescent="0.25">
      <c r="A19" s="118" t="s">
        <v>36</v>
      </c>
      <c r="B19" s="38" t="s">
        <v>37</v>
      </c>
      <c r="C19" s="119" t="s">
        <v>33</v>
      </c>
      <c r="D19" s="119" t="s">
        <v>33</v>
      </c>
      <c r="E19" s="119" t="s">
        <v>33</v>
      </c>
      <c r="F19" s="119" t="s">
        <v>33</v>
      </c>
      <c r="G19" s="119" t="s">
        <v>33</v>
      </c>
      <c r="H19" s="119" t="s">
        <v>33</v>
      </c>
      <c r="I19" s="119" t="s">
        <v>33</v>
      </c>
      <c r="J19" s="119" t="s">
        <v>33</v>
      </c>
      <c r="K19" s="119" t="s">
        <v>33</v>
      </c>
      <c r="L19" s="119" t="s">
        <v>33</v>
      </c>
      <c r="M19" s="119" t="s">
        <v>33</v>
      </c>
      <c r="N19" s="119" t="s">
        <v>33</v>
      </c>
      <c r="O19" s="119" t="s">
        <v>33</v>
      </c>
      <c r="P19" s="119" t="s">
        <v>33</v>
      </c>
      <c r="Q19" s="119" t="s">
        <v>33</v>
      </c>
      <c r="R19" s="119" t="s">
        <v>33</v>
      </c>
      <c r="S19" s="119" t="s">
        <v>33</v>
      </c>
      <c r="T19" s="119" t="s">
        <v>33</v>
      </c>
      <c r="U19" s="119" t="s">
        <v>33</v>
      </c>
      <c r="V19" s="119" t="s">
        <v>33</v>
      </c>
      <c r="W19" s="119" t="s">
        <v>33</v>
      </c>
      <c r="X19" s="119" t="s">
        <v>33</v>
      </c>
      <c r="Y19" s="119" t="s">
        <v>33</v>
      </c>
      <c r="Z19" s="119">
        <f>Z20+Z32</f>
        <v>15.695688493870982</v>
      </c>
      <c r="AA19" s="119" t="s">
        <v>33</v>
      </c>
      <c r="AB19" s="119" t="s">
        <v>33</v>
      </c>
      <c r="AC19" s="119" t="s">
        <v>33</v>
      </c>
      <c r="AD19" s="119" t="s">
        <v>33</v>
      </c>
      <c r="AE19" s="231">
        <f>AE32</f>
        <v>213</v>
      </c>
      <c r="AF19" s="231" t="s">
        <v>33</v>
      </c>
      <c r="AG19" s="231" t="s">
        <v>33</v>
      </c>
      <c r="AH19" s="119">
        <f>AH20+AH32</f>
        <v>15.695688493870982</v>
      </c>
      <c r="AI19" s="119" t="s">
        <v>33</v>
      </c>
      <c r="AJ19" s="119" t="s">
        <v>33</v>
      </c>
      <c r="AK19" s="119" t="s">
        <v>33</v>
      </c>
      <c r="AL19" s="119" t="s">
        <v>33</v>
      </c>
      <c r="AM19" s="231">
        <f>AM32</f>
        <v>213</v>
      </c>
      <c r="AN19" s="231" t="s">
        <v>33</v>
      </c>
    </row>
    <row r="20" spans="1:40" s="126" customFormat="1" ht="47.25" x14ac:dyDescent="0.25">
      <c r="A20" s="124" t="s">
        <v>53</v>
      </c>
      <c r="B20" s="39" t="s">
        <v>54</v>
      </c>
      <c r="C20" s="125" t="str">
        <f>C21</f>
        <v>нд</v>
      </c>
      <c r="D20" s="125" t="str">
        <f>D21</f>
        <v>нд</v>
      </c>
      <c r="E20" s="125" t="str">
        <f t="shared" ref="E20:Y20" si="1">E21</f>
        <v>нд</v>
      </c>
      <c r="F20" s="125" t="str">
        <f t="shared" si="1"/>
        <v>нд</v>
      </c>
      <c r="G20" s="125" t="str">
        <f t="shared" si="1"/>
        <v>нд</v>
      </c>
      <c r="H20" s="125" t="str">
        <f t="shared" si="1"/>
        <v>нд</v>
      </c>
      <c r="I20" s="125" t="str">
        <f t="shared" si="1"/>
        <v>нд</v>
      </c>
      <c r="J20" s="125" t="str">
        <f t="shared" si="1"/>
        <v>нд</v>
      </c>
      <c r="K20" s="125" t="str">
        <f t="shared" si="1"/>
        <v>нд</v>
      </c>
      <c r="L20" s="125" t="str">
        <f t="shared" si="1"/>
        <v>нд</v>
      </c>
      <c r="M20" s="125" t="str">
        <f t="shared" si="1"/>
        <v>нд</v>
      </c>
      <c r="N20" s="125" t="str">
        <f t="shared" si="1"/>
        <v>нд</v>
      </c>
      <c r="O20" s="125" t="str">
        <f t="shared" si="1"/>
        <v>нд</v>
      </c>
      <c r="P20" s="125" t="str">
        <f t="shared" si="1"/>
        <v>нд</v>
      </c>
      <c r="Q20" s="125" t="str">
        <f t="shared" si="1"/>
        <v>нд</v>
      </c>
      <c r="R20" s="125" t="str">
        <f t="shared" si="1"/>
        <v>нд</v>
      </c>
      <c r="S20" s="125" t="str">
        <f t="shared" si="1"/>
        <v>нд</v>
      </c>
      <c r="T20" s="125" t="str">
        <f t="shared" si="1"/>
        <v>нд</v>
      </c>
      <c r="U20" s="125" t="str">
        <f t="shared" si="1"/>
        <v>нд</v>
      </c>
      <c r="V20" s="125" t="str">
        <f t="shared" si="1"/>
        <v>нд</v>
      </c>
      <c r="W20" s="125" t="str">
        <f t="shared" si="1"/>
        <v>нд</v>
      </c>
      <c r="X20" s="125" t="str">
        <f t="shared" si="1"/>
        <v>нд</v>
      </c>
      <c r="Y20" s="125" t="str">
        <f t="shared" si="1"/>
        <v>нд</v>
      </c>
      <c r="Z20" s="125">
        <f t="shared" ref="Z20:AN20" si="2">Z21</f>
        <v>10.683033950518029</v>
      </c>
      <c r="AA20" s="125" t="str">
        <f t="shared" si="2"/>
        <v>нд</v>
      </c>
      <c r="AB20" s="125" t="str">
        <f t="shared" si="2"/>
        <v>нд</v>
      </c>
      <c r="AC20" s="125" t="str">
        <f t="shared" si="2"/>
        <v>нд</v>
      </c>
      <c r="AD20" s="125" t="str">
        <f t="shared" si="2"/>
        <v>нд</v>
      </c>
      <c r="AE20" s="185" t="str">
        <f t="shared" si="2"/>
        <v>нд</v>
      </c>
      <c r="AF20" s="185" t="str">
        <f t="shared" si="2"/>
        <v>нд</v>
      </c>
      <c r="AG20" s="125" t="str">
        <f t="shared" si="2"/>
        <v>нд</v>
      </c>
      <c r="AH20" s="125">
        <f t="shared" si="2"/>
        <v>10.683033950518029</v>
      </c>
      <c r="AI20" s="125" t="str">
        <f t="shared" si="2"/>
        <v>нд</v>
      </c>
      <c r="AJ20" s="125" t="str">
        <f t="shared" si="2"/>
        <v>нд</v>
      </c>
      <c r="AK20" s="125" t="str">
        <f t="shared" si="2"/>
        <v>нд</v>
      </c>
      <c r="AL20" s="125" t="str">
        <f t="shared" si="2"/>
        <v>нд</v>
      </c>
      <c r="AM20" s="185" t="str">
        <f t="shared" si="2"/>
        <v>нд</v>
      </c>
      <c r="AN20" s="185" t="str">
        <f t="shared" si="2"/>
        <v>нд</v>
      </c>
    </row>
    <row r="21" spans="1:40" s="129" customFormat="1" ht="21.75" customHeight="1" x14ac:dyDescent="0.25">
      <c r="A21" s="127" t="s">
        <v>38</v>
      </c>
      <c r="B21" s="10" t="s">
        <v>39</v>
      </c>
      <c r="C21" s="317" t="s">
        <v>33</v>
      </c>
      <c r="D21" s="317" t="s">
        <v>33</v>
      </c>
      <c r="E21" s="317" t="s">
        <v>33</v>
      </c>
      <c r="F21" s="317" t="s">
        <v>33</v>
      </c>
      <c r="G21" s="317" t="s">
        <v>33</v>
      </c>
      <c r="H21" s="317" t="s">
        <v>33</v>
      </c>
      <c r="I21" s="317" t="s">
        <v>33</v>
      </c>
      <c r="J21" s="317" t="s">
        <v>33</v>
      </c>
      <c r="K21" s="317" t="s">
        <v>33</v>
      </c>
      <c r="L21" s="317" t="s">
        <v>33</v>
      </c>
      <c r="M21" s="317" t="s">
        <v>33</v>
      </c>
      <c r="N21" s="317" t="s">
        <v>33</v>
      </c>
      <c r="O21" s="317" t="s">
        <v>33</v>
      </c>
      <c r="P21" s="317" t="s">
        <v>33</v>
      </c>
      <c r="Q21" s="317" t="s">
        <v>33</v>
      </c>
      <c r="R21" s="317" t="s">
        <v>33</v>
      </c>
      <c r="S21" s="317" t="s">
        <v>33</v>
      </c>
      <c r="T21" s="317" t="s">
        <v>33</v>
      </c>
      <c r="U21" s="317" t="s">
        <v>33</v>
      </c>
      <c r="V21" s="317" t="s">
        <v>33</v>
      </c>
      <c r="W21" s="317" t="s">
        <v>33</v>
      </c>
      <c r="X21" s="317" t="s">
        <v>33</v>
      </c>
      <c r="Y21" s="317" t="s">
        <v>33</v>
      </c>
      <c r="Z21" s="128">
        <f t="shared" ref="Z21:AH21" si="3">SUM(Z22:Z24)</f>
        <v>10.683033950518029</v>
      </c>
      <c r="AA21" s="317" t="s">
        <v>33</v>
      </c>
      <c r="AB21" s="317" t="s">
        <v>33</v>
      </c>
      <c r="AC21" s="317" t="s">
        <v>33</v>
      </c>
      <c r="AD21" s="317" t="s">
        <v>33</v>
      </c>
      <c r="AE21" s="317" t="s">
        <v>33</v>
      </c>
      <c r="AF21" s="317" t="s">
        <v>33</v>
      </c>
      <c r="AG21" s="317" t="s">
        <v>33</v>
      </c>
      <c r="AH21" s="128">
        <f t="shared" si="3"/>
        <v>10.683033950518029</v>
      </c>
      <c r="AI21" s="317" t="s">
        <v>33</v>
      </c>
      <c r="AJ21" s="317" t="s">
        <v>33</v>
      </c>
      <c r="AK21" s="317" t="s">
        <v>33</v>
      </c>
      <c r="AL21" s="317" t="s">
        <v>33</v>
      </c>
      <c r="AM21" s="317" t="s">
        <v>33</v>
      </c>
      <c r="AN21" s="317" t="s">
        <v>33</v>
      </c>
    </row>
    <row r="22" spans="1:40" s="191" customFormat="1" ht="30" x14ac:dyDescent="0.25">
      <c r="A22" s="13" t="s">
        <v>40</v>
      </c>
      <c r="B22" s="375" t="s">
        <v>1330</v>
      </c>
      <c r="C22" s="410" t="s">
        <v>1348</v>
      </c>
      <c r="D22" s="317" t="s">
        <v>33</v>
      </c>
      <c r="E22" s="317" t="s">
        <v>33</v>
      </c>
      <c r="F22" s="317" t="s">
        <v>33</v>
      </c>
      <c r="G22" s="317" t="s">
        <v>33</v>
      </c>
      <c r="H22" s="317" t="s">
        <v>33</v>
      </c>
      <c r="I22" s="317" t="s">
        <v>33</v>
      </c>
      <c r="J22" s="317" t="s">
        <v>33</v>
      </c>
      <c r="K22" s="317" t="s">
        <v>33</v>
      </c>
      <c r="L22" s="317" t="s">
        <v>33</v>
      </c>
      <c r="M22" s="317" t="s">
        <v>33</v>
      </c>
      <c r="N22" s="317" t="s">
        <v>33</v>
      </c>
      <c r="O22" s="317" t="s">
        <v>33</v>
      </c>
      <c r="P22" s="317" t="s">
        <v>33</v>
      </c>
      <c r="Q22" s="317" t="s">
        <v>33</v>
      </c>
      <c r="R22" s="317" t="s">
        <v>33</v>
      </c>
      <c r="S22" s="317" t="s">
        <v>33</v>
      </c>
      <c r="T22" s="317" t="s">
        <v>33</v>
      </c>
      <c r="U22" s="317" t="s">
        <v>33</v>
      </c>
      <c r="V22" s="317" t="s">
        <v>33</v>
      </c>
      <c r="W22" s="317" t="s">
        <v>33</v>
      </c>
      <c r="X22" s="317" t="s">
        <v>33</v>
      </c>
      <c r="Y22" s="317" t="s">
        <v>33</v>
      </c>
      <c r="Z22" s="317" t="s">
        <v>33</v>
      </c>
      <c r="AA22" s="317" t="s">
        <v>33</v>
      </c>
      <c r="AB22" s="317" t="s">
        <v>33</v>
      </c>
      <c r="AC22" s="317" t="s">
        <v>33</v>
      </c>
      <c r="AD22" s="317" t="s">
        <v>33</v>
      </c>
      <c r="AE22" s="317" t="s">
        <v>33</v>
      </c>
      <c r="AF22" s="317" t="s">
        <v>33</v>
      </c>
      <c r="AG22" s="317" t="s">
        <v>33</v>
      </c>
      <c r="AH22" s="317" t="s">
        <v>33</v>
      </c>
      <c r="AI22" s="317" t="s">
        <v>33</v>
      </c>
      <c r="AJ22" s="317" t="s">
        <v>33</v>
      </c>
      <c r="AK22" s="317" t="s">
        <v>33</v>
      </c>
      <c r="AL22" s="317" t="s">
        <v>33</v>
      </c>
      <c r="AM22" s="317" t="s">
        <v>33</v>
      </c>
      <c r="AN22" s="317" t="s">
        <v>33</v>
      </c>
    </row>
    <row r="23" spans="1:40" s="191" customFormat="1" x14ac:dyDescent="0.25">
      <c r="A23" s="13" t="s">
        <v>465</v>
      </c>
      <c r="B23" s="237" t="s">
        <v>648</v>
      </c>
      <c r="C23" s="410" t="s">
        <v>637</v>
      </c>
      <c r="D23" s="317" t="s">
        <v>33</v>
      </c>
      <c r="E23" s="317" t="s">
        <v>33</v>
      </c>
      <c r="F23" s="317" t="s">
        <v>33</v>
      </c>
      <c r="G23" s="317" t="s">
        <v>33</v>
      </c>
      <c r="H23" s="317" t="s">
        <v>33</v>
      </c>
      <c r="I23" s="317" t="s">
        <v>33</v>
      </c>
      <c r="J23" s="317" t="s">
        <v>33</v>
      </c>
      <c r="K23" s="317" t="s">
        <v>33</v>
      </c>
      <c r="L23" s="317" t="s">
        <v>33</v>
      </c>
      <c r="M23" s="317" t="s">
        <v>33</v>
      </c>
      <c r="N23" s="317" t="s">
        <v>33</v>
      </c>
      <c r="O23" s="317" t="s">
        <v>33</v>
      </c>
      <c r="P23" s="317" t="s">
        <v>33</v>
      </c>
      <c r="Q23" s="317" t="s">
        <v>33</v>
      </c>
      <c r="R23" s="317" t="s">
        <v>33</v>
      </c>
      <c r="S23" s="317" t="s">
        <v>33</v>
      </c>
      <c r="T23" s="317" t="s">
        <v>33</v>
      </c>
      <c r="U23" s="317" t="s">
        <v>33</v>
      </c>
      <c r="V23" s="317" t="s">
        <v>33</v>
      </c>
      <c r="W23" s="317" t="s">
        <v>33</v>
      </c>
      <c r="X23" s="317" t="s">
        <v>33</v>
      </c>
      <c r="Y23" s="317" t="s">
        <v>33</v>
      </c>
      <c r="Z23" s="317" t="s">
        <v>33</v>
      </c>
      <c r="AA23" s="317" t="s">
        <v>33</v>
      </c>
      <c r="AB23" s="317" t="s">
        <v>33</v>
      </c>
      <c r="AC23" s="317" t="s">
        <v>33</v>
      </c>
      <c r="AD23" s="317" t="s">
        <v>33</v>
      </c>
      <c r="AE23" s="317" t="s">
        <v>33</v>
      </c>
      <c r="AF23" s="317" t="s">
        <v>33</v>
      </c>
      <c r="AG23" s="317" t="s">
        <v>33</v>
      </c>
      <c r="AH23" s="317" t="s">
        <v>33</v>
      </c>
      <c r="AI23" s="317" t="s">
        <v>33</v>
      </c>
      <c r="AJ23" s="317" t="s">
        <v>33</v>
      </c>
      <c r="AK23" s="317" t="s">
        <v>33</v>
      </c>
      <c r="AL23" s="317" t="s">
        <v>33</v>
      </c>
      <c r="AM23" s="317" t="s">
        <v>33</v>
      </c>
      <c r="AN23" s="317" t="s">
        <v>33</v>
      </c>
    </row>
    <row r="24" spans="1:40" s="191" customFormat="1" x14ac:dyDescent="0.25">
      <c r="A24" s="13" t="s">
        <v>615</v>
      </c>
      <c r="B24" s="237" t="s">
        <v>649</v>
      </c>
      <c r="C24" s="410" t="s">
        <v>638</v>
      </c>
      <c r="D24" s="317" t="s">
        <v>33</v>
      </c>
      <c r="E24" s="317" t="s">
        <v>33</v>
      </c>
      <c r="F24" s="317" t="s">
        <v>33</v>
      </c>
      <c r="G24" s="317" t="s">
        <v>33</v>
      </c>
      <c r="H24" s="317" t="s">
        <v>33</v>
      </c>
      <c r="I24" s="317" t="s">
        <v>33</v>
      </c>
      <c r="J24" s="317" t="s">
        <v>33</v>
      </c>
      <c r="K24" s="317" t="s">
        <v>33</v>
      </c>
      <c r="L24" s="317" t="s">
        <v>33</v>
      </c>
      <c r="M24" s="317" t="s">
        <v>33</v>
      </c>
      <c r="N24" s="317" t="s">
        <v>33</v>
      </c>
      <c r="O24" s="317" t="s">
        <v>33</v>
      </c>
      <c r="P24" s="317" t="s">
        <v>33</v>
      </c>
      <c r="Q24" s="317" t="s">
        <v>33</v>
      </c>
      <c r="R24" s="317" t="s">
        <v>33</v>
      </c>
      <c r="S24" s="317" t="s">
        <v>33</v>
      </c>
      <c r="T24" s="317" t="s">
        <v>33</v>
      </c>
      <c r="U24" s="317" t="s">
        <v>33</v>
      </c>
      <c r="V24" s="317" t="s">
        <v>33</v>
      </c>
      <c r="W24" s="317" t="s">
        <v>33</v>
      </c>
      <c r="X24" s="317" t="s">
        <v>33</v>
      </c>
      <c r="Y24" s="317" t="s">
        <v>33</v>
      </c>
      <c r="Z24" s="516">
        <f>Ф4!CO24</f>
        <v>10.683033950518029</v>
      </c>
      <c r="AA24" s="516" t="str">
        <f>Ф4!CH24</f>
        <v>нд</v>
      </c>
      <c r="AB24" s="516" t="str">
        <f>Ф4!CI24</f>
        <v>нд</v>
      </c>
      <c r="AC24" s="516" t="str">
        <f>Ф4!CJ24</f>
        <v>нд</v>
      </c>
      <c r="AD24" s="516" t="str">
        <f>Ф4!CK24</f>
        <v>нд</v>
      </c>
      <c r="AE24" s="526" t="str">
        <f>Ф4!CL24</f>
        <v>нд</v>
      </c>
      <c r="AF24" s="526" t="str">
        <f>Ф4!CM24</f>
        <v>нд</v>
      </c>
      <c r="AG24" s="517" t="s">
        <v>33</v>
      </c>
      <c r="AH24" s="516">
        <f>Z24</f>
        <v>10.683033950518029</v>
      </c>
      <c r="AI24" s="517" t="s">
        <v>33</v>
      </c>
      <c r="AJ24" s="517" t="s">
        <v>33</v>
      </c>
      <c r="AK24" s="517" t="s">
        <v>33</v>
      </c>
      <c r="AL24" s="517" t="s">
        <v>33</v>
      </c>
      <c r="AM24" s="517" t="s">
        <v>33</v>
      </c>
      <c r="AN24" s="517" t="s">
        <v>33</v>
      </c>
    </row>
    <row r="25" spans="1:40" s="126" customFormat="1" ht="31.5" x14ac:dyDescent="0.25">
      <c r="A25" s="124" t="s">
        <v>41</v>
      </c>
      <c r="B25" s="39" t="s">
        <v>42</v>
      </c>
      <c r="C25" s="125" t="str">
        <f>C26</f>
        <v>нд</v>
      </c>
      <c r="D25" s="125" t="str">
        <f>D26</f>
        <v>нд</v>
      </c>
      <c r="E25" s="125" t="str">
        <f t="shared" ref="E25:AN25" si="4">E26</f>
        <v>нд</v>
      </c>
      <c r="F25" s="125" t="str">
        <f t="shared" si="4"/>
        <v>нд</v>
      </c>
      <c r="G25" s="125" t="str">
        <f t="shared" si="4"/>
        <v>нд</v>
      </c>
      <c r="H25" s="125" t="str">
        <f t="shared" si="4"/>
        <v>нд</v>
      </c>
      <c r="I25" s="125" t="str">
        <f t="shared" si="4"/>
        <v>нд</v>
      </c>
      <c r="J25" s="125" t="str">
        <f t="shared" si="4"/>
        <v>нд</v>
      </c>
      <c r="K25" s="125" t="str">
        <f t="shared" si="4"/>
        <v>нд</v>
      </c>
      <c r="L25" s="125" t="str">
        <f t="shared" si="4"/>
        <v>нд</v>
      </c>
      <c r="M25" s="125" t="str">
        <f t="shared" si="4"/>
        <v>нд</v>
      </c>
      <c r="N25" s="125" t="str">
        <f t="shared" si="4"/>
        <v>нд</v>
      </c>
      <c r="O25" s="125" t="str">
        <f t="shared" si="4"/>
        <v>нд</v>
      </c>
      <c r="P25" s="125" t="str">
        <f t="shared" si="4"/>
        <v>нд</v>
      </c>
      <c r="Q25" s="125" t="str">
        <f t="shared" si="4"/>
        <v>нд</v>
      </c>
      <c r="R25" s="125" t="str">
        <f t="shared" si="4"/>
        <v>нд</v>
      </c>
      <c r="S25" s="125" t="str">
        <f t="shared" si="4"/>
        <v>нд</v>
      </c>
      <c r="T25" s="125" t="str">
        <f t="shared" si="4"/>
        <v>нд</v>
      </c>
      <c r="U25" s="125" t="str">
        <f t="shared" si="4"/>
        <v>нд</v>
      </c>
      <c r="V25" s="125" t="str">
        <f t="shared" si="4"/>
        <v>нд</v>
      </c>
      <c r="W25" s="125" t="str">
        <f t="shared" si="4"/>
        <v>нд</v>
      </c>
      <c r="X25" s="125" t="str">
        <f t="shared" si="4"/>
        <v>нд</v>
      </c>
      <c r="Y25" s="125" t="str">
        <f t="shared" si="4"/>
        <v>нд</v>
      </c>
      <c r="Z25" s="125" t="str">
        <f t="shared" si="4"/>
        <v>нд</v>
      </c>
      <c r="AA25" s="125" t="str">
        <f t="shared" si="4"/>
        <v>нд</v>
      </c>
      <c r="AB25" s="125" t="str">
        <f t="shared" si="4"/>
        <v>нд</v>
      </c>
      <c r="AC25" s="125" t="str">
        <f t="shared" si="4"/>
        <v>нд</v>
      </c>
      <c r="AD25" s="125" t="str">
        <f t="shared" si="4"/>
        <v>нд</v>
      </c>
      <c r="AE25" s="125" t="str">
        <f t="shared" si="4"/>
        <v>нд</v>
      </c>
      <c r="AF25" s="125" t="str">
        <f t="shared" si="4"/>
        <v>нд</v>
      </c>
      <c r="AG25" s="125" t="str">
        <f t="shared" si="4"/>
        <v>нд</v>
      </c>
      <c r="AH25" s="125" t="str">
        <f t="shared" si="4"/>
        <v>нд</v>
      </c>
      <c r="AI25" s="125" t="str">
        <f t="shared" si="4"/>
        <v>нд</v>
      </c>
      <c r="AJ25" s="125" t="str">
        <f t="shared" si="4"/>
        <v>нд</v>
      </c>
      <c r="AK25" s="125" t="str">
        <f t="shared" si="4"/>
        <v>нд</v>
      </c>
      <c r="AL25" s="125" t="str">
        <f t="shared" si="4"/>
        <v>нд</v>
      </c>
      <c r="AM25" s="125" t="str">
        <f t="shared" si="4"/>
        <v>нд</v>
      </c>
      <c r="AN25" s="125" t="str">
        <f t="shared" si="4"/>
        <v>нд</v>
      </c>
    </row>
    <row r="26" spans="1:40" s="129" customFormat="1" x14ac:dyDescent="0.25">
      <c r="A26" s="127" t="s">
        <v>49</v>
      </c>
      <c r="B26" s="10" t="s">
        <v>50</v>
      </c>
      <c r="C26" s="317" t="s">
        <v>33</v>
      </c>
      <c r="D26" s="317" t="s">
        <v>33</v>
      </c>
      <c r="E26" s="317" t="s">
        <v>33</v>
      </c>
      <c r="F26" s="317" t="s">
        <v>33</v>
      </c>
      <c r="G26" s="317" t="s">
        <v>33</v>
      </c>
      <c r="H26" s="317" t="s">
        <v>33</v>
      </c>
      <c r="I26" s="317" t="s">
        <v>33</v>
      </c>
      <c r="J26" s="317" t="s">
        <v>33</v>
      </c>
      <c r="K26" s="317" t="s">
        <v>33</v>
      </c>
      <c r="L26" s="317" t="s">
        <v>33</v>
      </c>
      <c r="M26" s="317" t="s">
        <v>33</v>
      </c>
      <c r="N26" s="317" t="s">
        <v>33</v>
      </c>
      <c r="O26" s="317" t="s">
        <v>33</v>
      </c>
      <c r="P26" s="317" t="s">
        <v>33</v>
      </c>
      <c r="Q26" s="317" t="s">
        <v>33</v>
      </c>
      <c r="R26" s="317" t="s">
        <v>33</v>
      </c>
      <c r="S26" s="317" t="s">
        <v>33</v>
      </c>
      <c r="T26" s="317" t="s">
        <v>33</v>
      </c>
      <c r="U26" s="317" t="s">
        <v>33</v>
      </c>
      <c r="V26" s="317" t="s">
        <v>33</v>
      </c>
      <c r="W26" s="317" t="s">
        <v>33</v>
      </c>
      <c r="X26" s="317" t="s">
        <v>33</v>
      </c>
      <c r="Y26" s="317" t="s">
        <v>33</v>
      </c>
      <c r="Z26" s="317" t="s">
        <v>33</v>
      </c>
      <c r="AA26" s="317" t="s">
        <v>33</v>
      </c>
      <c r="AB26" s="317" t="s">
        <v>33</v>
      </c>
      <c r="AC26" s="317" t="s">
        <v>33</v>
      </c>
      <c r="AD26" s="317" t="s">
        <v>33</v>
      </c>
      <c r="AE26" s="317" t="s">
        <v>33</v>
      </c>
      <c r="AF26" s="317" t="s">
        <v>33</v>
      </c>
      <c r="AG26" s="317" t="s">
        <v>33</v>
      </c>
      <c r="AH26" s="317" t="s">
        <v>33</v>
      </c>
      <c r="AI26" s="317" t="s">
        <v>33</v>
      </c>
      <c r="AJ26" s="317" t="s">
        <v>33</v>
      </c>
      <c r="AK26" s="317" t="s">
        <v>33</v>
      </c>
      <c r="AL26" s="317" t="s">
        <v>33</v>
      </c>
      <c r="AM26" s="317" t="s">
        <v>33</v>
      </c>
      <c r="AN26" s="317" t="s">
        <v>33</v>
      </c>
    </row>
    <row r="27" spans="1:40" s="191" customFormat="1" ht="47.25" x14ac:dyDescent="0.25">
      <c r="A27" s="13" t="s">
        <v>51</v>
      </c>
      <c r="B27" s="236" t="s">
        <v>650</v>
      </c>
      <c r="C27" s="410" t="s">
        <v>1329</v>
      </c>
      <c r="D27" s="317" t="s">
        <v>33</v>
      </c>
      <c r="E27" s="317" t="s">
        <v>33</v>
      </c>
      <c r="F27" s="317" t="s">
        <v>33</v>
      </c>
      <c r="G27" s="317" t="s">
        <v>33</v>
      </c>
      <c r="H27" s="317" t="s">
        <v>33</v>
      </c>
      <c r="I27" s="317" t="s">
        <v>33</v>
      </c>
      <c r="J27" s="317" t="s">
        <v>33</v>
      </c>
      <c r="K27" s="317" t="s">
        <v>33</v>
      </c>
      <c r="L27" s="317" t="s">
        <v>33</v>
      </c>
      <c r="M27" s="317" t="s">
        <v>33</v>
      </c>
      <c r="N27" s="317" t="s">
        <v>33</v>
      </c>
      <c r="O27" s="317" t="s">
        <v>33</v>
      </c>
      <c r="P27" s="317" t="s">
        <v>33</v>
      </c>
      <c r="Q27" s="317" t="s">
        <v>33</v>
      </c>
      <c r="R27" s="317" t="s">
        <v>33</v>
      </c>
      <c r="S27" s="317" t="s">
        <v>33</v>
      </c>
      <c r="T27" s="317" t="s">
        <v>33</v>
      </c>
      <c r="U27" s="317" t="s">
        <v>33</v>
      </c>
      <c r="V27" s="317" t="s">
        <v>33</v>
      </c>
      <c r="W27" s="317" t="s">
        <v>33</v>
      </c>
      <c r="X27" s="317" t="s">
        <v>33</v>
      </c>
      <c r="Y27" s="317" t="s">
        <v>33</v>
      </c>
      <c r="Z27" s="317" t="s">
        <v>33</v>
      </c>
      <c r="AA27" s="317" t="s">
        <v>33</v>
      </c>
      <c r="AB27" s="317" t="s">
        <v>33</v>
      </c>
      <c r="AC27" s="317" t="s">
        <v>33</v>
      </c>
      <c r="AD27" s="317" t="s">
        <v>33</v>
      </c>
      <c r="AE27" s="317" t="s">
        <v>33</v>
      </c>
      <c r="AF27" s="317" t="s">
        <v>33</v>
      </c>
      <c r="AG27" s="317" t="s">
        <v>33</v>
      </c>
      <c r="AH27" s="317" t="s">
        <v>33</v>
      </c>
      <c r="AI27" s="317" t="s">
        <v>33</v>
      </c>
      <c r="AJ27" s="317" t="s">
        <v>33</v>
      </c>
      <c r="AK27" s="317" t="s">
        <v>33</v>
      </c>
      <c r="AL27" s="317" t="s">
        <v>33</v>
      </c>
      <c r="AM27" s="317" t="s">
        <v>33</v>
      </c>
      <c r="AN27" s="317" t="s">
        <v>33</v>
      </c>
    </row>
    <row r="28" spans="1:40" s="191" customFormat="1" x14ac:dyDescent="0.25">
      <c r="A28" s="13" t="s">
        <v>578</v>
      </c>
      <c r="B28" s="236" t="s">
        <v>651</v>
      </c>
      <c r="C28" s="410" t="s">
        <v>1349</v>
      </c>
      <c r="D28" s="317" t="s">
        <v>33</v>
      </c>
      <c r="E28" s="317" t="s">
        <v>33</v>
      </c>
      <c r="F28" s="317" t="s">
        <v>33</v>
      </c>
      <c r="G28" s="317" t="s">
        <v>33</v>
      </c>
      <c r="H28" s="317" t="s">
        <v>33</v>
      </c>
      <c r="I28" s="317" t="s">
        <v>33</v>
      </c>
      <c r="J28" s="317" t="s">
        <v>33</v>
      </c>
      <c r="K28" s="317" t="s">
        <v>33</v>
      </c>
      <c r="L28" s="317" t="s">
        <v>33</v>
      </c>
      <c r="M28" s="317" t="s">
        <v>33</v>
      </c>
      <c r="N28" s="317" t="s">
        <v>33</v>
      </c>
      <c r="O28" s="317" t="s">
        <v>33</v>
      </c>
      <c r="P28" s="317" t="s">
        <v>33</v>
      </c>
      <c r="Q28" s="317" t="s">
        <v>33</v>
      </c>
      <c r="R28" s="317" t="s">
        <v>33</v>
      </c>
      <c r="S28" s="317" t="s">
        <v>33</v>
      </c>
      <c r="T28" s="317" t="s">
        <v>33</v>
      </c>
      <c r="U28" s="317" t="s">
        <v>33</v>
      </c>
      <c r="V28" s="317" t="s">
        <v>33</v>
      </c>
      <c r="W28" s="317" t="s">
        <v>33</v>
      </c>
      <c r="X28" s="317" t="s">
        <v>33</v>
      </c>
      <c r="Y28" s="317" t="s">
        <v>33</v>
      </c>
      <c r="Z28" s="317" t="s">
        <v>33</v>
      </c>
      <c r="AA28" s="317" t="s">
        <v>33</v>
      </c>
      <c r="AB28" s="317" t="s">
        <v>33</v>
      </c>
      <c r="AC28" s="317" t="s">
        <v>33</v>
      </c>
      <c r="AD28" s="317" t="s">
        <v>33</v>
      </c>
      <c r="AE28" s="317" t="s">
        <v>33</v>
      </c>
      <c r="AF28" s="317" t="s">
        <v>33</v>
      </c>
      <c r="AG28" s="317" t="s">
        <v>33</v>
      </c>
      <c r="AH28" s="317" t="s">
        <v>33</v>
      </c>
      <c r="AI28" s="317" t="s">
        <v>33</v>
      </c>
      <c r="AJ28" s="317" t="s">
        <v>33</v>
      </c>
      <c r="AK28" s="317" t="s">
        <v>33</v>
      </c>
      <c r="AL28" s="317" t="s">
        <v>33</v>
      </c>
      <c r="AM28" s="317" t="s">
        <v>33</v>
      </c>
      <c r="AN28" s="317" t="s">
        <v>33</v>
      </c>
    </row>
    <row r="29" spans="1:40" s="191" customFormat="1" x14ac:dyDescent="0.25">
      <c r="A29" s="13" t="s">
        <v>580</v>
      </c>
      <c r="B29" s="236" t="s">
        <v>652</v>
      </c>
      <c r="C29" s="410" t="s">
        <v>1350</v>
      </c>
      <c r="D29" s="317" t="s">
        <v>33</v>
      </c>
      <c r="E29" s="317" t="s">
        <v>33</v>
      </c>
      <c r="F29" s="317" t="s">
        <v>33</v>
      </c>
      <c r="G29" s="317" t="s">
        <v>33</v>
      </c>
      <c r="H29" s="317" t="s">
        <v>33</v>
      </c>
      <c r="I29" s="317" t="s">
        <v>33</v>
      </c>
      <c r="J29" s="317" t="s">
        <v>33</v>
      </c>
      <c r="K29" s="317" t="s">
        <v>33</v>
      </c>
      <c r="L29" s="317" t="s">
        <v>33</v>
      </c>
      <c r="M29" s="317" t="s">
        <v>33</v>
      </c>
      <c r="N29" s="317" t="s">
        <v>33</v>
      </c>
      <c r="O29" s="317" t="s">
        <v>33</v>
      </c>
      <c r="P29" s="317" t="s">
        <v>33</v>
      </c>
      <c r="Q29" s="317" t="s">
        <v>33</v>
      </c>
      <c r="R29" s="317" t="s">
        <v>33</v>
      </c>
      <c r="S29" s="317" t="s">
        <v>33</v>
      </c>
      <c r="T29" s="317" t="s">
        <v>33</v>
      </c>
      <c r="U29" s="317" t="s">
        <v>33</v>
      </c>
      <c r="V29" s="317" t="s">
        <v>33</v>
      </c>
      <c r="W29" s="317" t="s">
        <v>33</v>
      </c>
      <c r="X29" s="317" t="s">
        <v>33</v>
      </c>
      <c r="Y29" s="317" t="s">
        <v>33</v>
      </c>
      <c r="Z29" s="317" t="s">
        <v>33</v>
      </c>
      <c r="AA29" s="317" t="s">
        <v>33</v>
      </c>
      <c r="AB29" s="317" t="s">
        <v>33</v>
      </c>
      <c r="AC29" s="317" t="s">
        <v>33</v>
      </c>
      <c r="AD29" s="317" t="s">
        <v>33</v>
      </c>
      <c r="AE29" s="317" t="s">
        <v>33</v>
      </c>
      <c r="AF29" s="317" t="s">
        <v>33</v>
      </c>
      <c r="AG29" s="317" t="s">
        <v>33</v>
      </c>
      <c r="AH29" s="317" t="s">
        <v>33</v>
      </c>
      <c r="AI29" s="317" t="s">
        <v>33</v>
      </c>
      <c r="AJ29" s="317" t="s">
        <v>33</v>
      </c>
      <c r="AK29" s="317" t="s">
        <v>33</v>
      </c>
      <c r="AL29" s="317" t="s">
        <v>33</v>
      </c>
      <c r="AM29" s="317" t="s">
        <v>33</v>
      </c>
      <c r="AN29" s="317" t="s">
        <v>33</v>
      </c>
    </row>
    <row r="30" spans="1:40" s="191" customFormat="1" ht="31.5" x14ac:dyDescent="0.25">
      <c r="A30" s="13" t="s">
        <v>581</v>
      </c>
      <c r="B30" s="236" t="s">
        <v>1340</v>
      </c>
      <c r="C30" s="410" t="s">
        <v>1351</v>
      </c>
      <c r="D30" s="317" t="s">
        <v>33</v>
      </c>
      <c r="E30" s="317" t="s">
        <v>33</v>
      </c>
      <c r="F30" s="317" t="s">
        <v>33</v>
      </c>
      <c r="G30" s="317" t="s">
        <v>33</v>
      </c>
      <c r="H30" s="317" t="s">
        <v>33</v>
      </c>
      <c r="I30" s="317" t="s">
        <v>33</v>
      </c>
      <c r="J30" s="317" t="s">
        <v>33</v>
      </c>
      <c r="K30" s="317" t="s">
        <v>33</v>
      </c>
      <c r="L30" s="317" t="s">
        <v>33</v>
      </c>
      <c r="M30" s="317" t="s">
        <v>33</v>
      </c>
      <c r="N30" s="317" t="s">
        <v>33</v>
      </c>
      <c r="O30" s="317" t="s">
        <v>33</v>
      </c>
      <c r="P30" s="317" t="s">
        <v>33</v>
      </c>
      <c r="Q30" s="317" t="s">
        <v>33</v>
      </c>
      <c r="R30" s="317" t="s">
        <v>33</v>
      </c>
      <c r="S30" s="317" t="s">
        <v>33</v>
      </c>
      <c r="T30" s="317" t="s">
        <v>33</v>
      </c>
      <c r="U30" s="317" t="s">
        <v>33</v>
      </c>
      <c r="V30" s="317" t="s">
        <v>33</v>
      </c>
      <c r="W30" s="317" t="s">
        <v>33</v>
      </c>
      <c r="X30" s="317" t="s">
        <v>33</v>
      </c>
      <c r="Y30" s="317" t="s">
        <v>33</v>
      </c>
      <c r="Z30" s="317" t="s">
        <v>33</v>
      </c>
      <c r="AA30" s="317" t="s">
        <v>33</v>
      </c>
      <c r="AB30" s="317" t="s">
        <v>33</v>
      </c>
      <c r="AC30" s="317" t="s">
        <v>33</v>
      </c>
      <c r="AD30" s="317" t="s">
        <v>33</v>
      </c>
      <c r="AE30" s="317" t="s">
        <v>33</v>
      </c>
      <c r="AF30" s="317" t="s">
        <v>33</v>
      </c>
      <c r="AG30" s="317" t="s">
        <v>33</v>
      </c>
      <c r="AH30" s="317" t="s">
        <v>33</v>
      </c>
      <c r="AI30" s="317" t="s">
        <v>33</v>
      </c>
      <c r="AJ30" s="317" t="s">
        <v>33</v>
      </c>
      <c r="AK30" s="317" t="s">
        <v>33</v>
      </c>
      <c r="AL30" s="317" t="s">
        <v>33</v>
      </c>
      <c r="AM30" s="317" t="s">
        <v>33</v>
      </c>
      <c r="AN30" s="317" t="s">
        <v>33</v>
      </c>
    </row>
    <row r="31" spans="1:40" s="191" customFormat="1" ht="47.25" x14ac:dyDescent="0.25">
      <c r="A31" s="13" t="s">
        <v>1368</v>
      </c>
      <c r="B31" s="236" t="s">
        <v>653</v>
      </c>
      <c r="C31" s="410" t="s">
        <v>640</v>
      </c>
      <c r="D31" s="317" t="s">
        <v>33</v>
      </c>
      <c r="E31" s="317" t="s">
        <v>33</v>
      </c>
      <c r="F31" s="317" t="s">
        <v>33</v>
      </c>
      <c r="G31" s="317" t="s">
        <v>33</v>
      </c>
      <c r="H31" s="317" t="s">
        <v>33</v>
      </c>
      <c r="I31" s="317" t="s">
        <v>33</v>
      </c>
      <c r="J31" s="317" t="s">
        <v>33</v>
      </c>
      <c r="K31" s="317" t="s">
        <v>33</v>
      </c>
      <c r="L31" s="317" t="s">
        <v>33</v>
      </c>
      <c r="M31" s="317" t="s">
        <v>33</v>
      </c>
      <c r="N31" s="317" t="s">
        <v>33</v>
      </c>
      <c r="O31" s="317" t="s">
        <v>33</v>
      </c>
      <c r="P31" s="317" t="s">
        <v>33</v>
      </c>
      <c r="Q31" s="317" t="s">
        <v>33</v>
      </c>
      <c r="R31" s="317" t="s">
        <v>33</v>
      </c>
      <c r="S31" s="317" t="s">
        <v>33</v>
      </c>
      <c r="T31" s="317" t="s">
        <v>33</v>
      </c>
      <c r="U31" s="317" t="s">
        <v>33</v>
      </c>
      <c r="V31" s="317" t="s">
        <v>33</v>
      </c>
      <c r="W31" s="317" t="s">
        <v>33</v>
      </c>
      <c r="X31" s="317" t="s">
        <v>33</v>
      </c>
      <c r="Y31" s="317" t="s">
        <v>33</v>
      </c>
      <c r="Z31" s="317" t="s">
        <v>33</v>
      </c>
      <c r="AA31" s="317" t="s">
        <v>33</v>
      </c>
      <c r="AB31" s="317" t="s">
        <v>33</v>
      </c>
      <c r="AC31" s="317" t="s">
        <v>33</v>
      </c>
      <c r="AD31" s="317" t="s">
        <v>33</v>
      </c>
      <c r="AE31" s="317" t="s">
        <v>33</v>
      </c>
      <c r="AF31" s="317" t="s">
        <v>33</v>
      </c>
      <c r="AG31" s="317" t="s">
        <v>33</v>
      </c>
      <c r="AH31" s="317" t="s">
        <v>33</v>
      </c>
      <c r="AI31" s="317" t="s">
        <v>33</v>
      </c>
      <c r="AJ31" s="317" t="s">
        <v>33</v>
      </c>
      <c r="AK31" s="317" t="s">
        <v>33</v>
      </c>
      <c r="AL31" s="317" t="s">
        <v>33</v>
      </c>
      <c r="AM31" s="317" t="s">
        <v>33</v>
      </c>
      <c r="AN31" s="317" t="s">
        <v>33</v>
      </c>
    </row>
    <row r="32" spans="1:40" s="126" customFormat="1" ht="31.5" x14ac:dyDescent="0.25">
      <c r="A32" s="124" t="s">
        <v>68</v>
      </c>
      <c r="B32" s="39" t="s">
        <v>69</v>
      </c>
      <c r="C32" s="125" t="str">
        <f>C33</f>
        <v>нд</v>
      </c>
      <c r="D32" s="125" t="str">
        <f>D33</f>
        <v>нд</v>
      </c>
      <c r="E32" s="125" t="str">
        <f t="shared" ref="E32:AN32" si="5">E33</f>
        <v>нд</v>
      </c>
      <c r="F32" s="125" t="str">
        <f t="shared" si="5"/>
        <v>нд</v>
      </c>
      <c r="G32" s="125" t="str">
        <f t="shared" si="5"/>
        <v>нд</v>
      </c>
      <c r="H32" s="125" t="str">
        <f t="shared" si="5"/>
        <v>нд</v>
      </c>
      <c r="I32" s="125" t="str">
        <f t="shared" si="5"/>
        <v>нд</v>
      </c>
      <c r="J32" s="125" t="str">
        <f t="shared" si="5"/>
        <v>нд</v>
      </c>
      <c r="K32" s="125" t="str">
        <f t="shared" si="5"/>
        <v>нд</v>
      </c>
      <c r="L32" s="125" t="str">
        <f t="shared" si="5"/>
        <v>нд</v>
      </c>
      <c r="M32" s="125" t="str">
        <f t="shared" si="5"/>
        <v>нд</v>
      </c>
      <c r="N32" s="125" t="str">
        <f t="shared" si="5"/>
        <v>нд</v>
      </c>
      <c r="O32" s="125" t="str">
        <f t="shared" si="5"/>
        <v>нд</v>
      </c>
      <c r="P32" s="125" t="str">
        <f t="shared" si="5"/>
        <v>нд</v>
      </c>
      <c r="Q32" s="125" t="str">
        <f t="shared" si="5"/>
        <v>нд</v>
      </c>
      <c r="R32" s="125" t="str">
        <f t="shared" si="5"/>
        <v>нд</v>
      </c>
      <c r="S32" s="125" t="str">
        <f t="shared" si="5"/>
        <v>нд</v>
      </c>
      <c r="T32" s="125" t="str">
        <f t="shared" si="5"/>
        <v>нд</v>
      </c>
      <c r="U32" s="125" t="str">
        <f t="shared" si="5"/>
        <v>нд</v>
      </c>
      <c r="V32" s="125" t="str">
        <f t="shared" si="5"/>
        <v>нд</v>
      </c>
      <c r="W32" s="125" t="str">
        <f t="shared" si="5"/>
        <v>нд</v>
      </c>
      <c r="X32" s="125" t="str">
        <f t="shared" si="5"/>
        <v>нд</v>
      </c>
      <c r="Y32" s="125" t="str">
        <f t="shared" si="5"/>
        <v>нд</v>
      </c>
      <c r="Z32" s="125">
        <f t="shared" si="5"/>
        <v>5.0126545433529532</v>
      </c>
      <c r="AA32" s="125" t="str">
        <f t="shared" si="5"/>
        <v>нд</v>
      </c>
      <c r="AB32" s="125" t="str">
        <f t="shared" si="5"/>
        <v>нд</v>
      </c>
      <c r="AC32" s="125" t="str">
        <f t="shared" si="5"/>
        <v>нд</v>
      </c>
      <c r="AD32" s="125" t="str">
        <f t="shared" si="5"/>
        <v>нд</v>
      </c>
      <c r="AE32" s="185">
        <f t="shared" si="5"/>
        <v>213</v>
      </c>
      <c r="AF32" s="185" t="str">
        <f t="shared" si="5"/>
        <v>нд</v>
      </c>
      <c r="AG32" s="125" t="str">
        <f t="shared" si="5"/>
        <v>нд</v>
      </c>
      <c r="AH32" s="125">
        <f t="shared" si="5"/>
        <v>5.0126545433529532</v>
      </c>
      <c r="AI32" s="125" t="str">
        <f t="shared" si="5"/>
        <v>нд</v>
      </c>
      <c r="AJ32" s="125" t="str">
        <f t="shared" si="5"/>
        <v>нд</v>
      </c>
      <c r="AK32" s="125" t="str">
        <f t="shared" si="5"/>
        <v>нд</v>
      </c>
      <c r="AL32" s="125" t="str">
        <f t="shared" si="5"/>
        <v>нд</v>
      </c>
      <c r="AM32" s="185">
        <f t="shared" si="5"/>
        <v>213</v>
      </c>
      <c r="AN32" s="185" t="str">
        <f t="shared" si="5"/>
        <v>нд</v>
      </c>
    </row>
    <row r="33" spans="1:40" s="129" customFormat="1" ht="31.5" outlineLevel="1" x14ac:dyDescent="0.25">
      <c r="A33" s="127" t="s">
        <v>70</v>
      </c>
      <c r="B33" s="10" t="s">
        <v>71</v>
      </c>
      <c r="C33" s="317" t="s">
        <v>33</v>
      </c>
      <c r="D33" s="317" t="s">
        <v>33</v>
      </c>
      <c r="E33" s="317" t="s">
        <v>33</v>
      </c>
      <c r="F33" s="317" t="s">
        <v>33</v>
      </c>
      <c r="G33" s="317" t="s">
        <v>33</v>
      </c>
      <c r="H33" s="317" t="s">
        <v>33</v>
      </c>
      <c r="I33" s="317" t="s">
        <v>33</v>
      </c>
      <c r="J33" s="317" t="s">
        <v>33</v>
      </c>
      <c r="K33" s="317" t="s">
        <v>33</v>
      </c>
      <c r="L33" s="317" t="s">
        <v>33</v>
      </c>
      <c r="M33" s="317" t="s">
        <v>33</v>
      </c>
      <c r="N33" s="317" t="s">
        <v>33</v>
      </c>
      <c r="O33" s="317" t="s">
        <v>33</v>
      </c>
      <c r="P33" s="317" t="s">
        <v>33</v>
      </c>
      <c r="Q33" s="317" t="s">
        <v>33</v>
      </c>
      <c r="R33" s="317" t="s">
        <v>33</v>
      </c>
      <c r="S33" s="317" t="s">
        <v>33</v>
      </c>
      <c r="T33" s="317" t="s">
        <v>33</v>
      </c>
      <c r="U33" s="317" t="s">
        <v>33</v>
      </c>
      <c r="V33" s="317" t="s">
        <v>33</v>
      </c>
      <c r="W33" s="317" t="s">
        <v>33</v>
      </c>
      <c r="X33" s="317" t="s">
        <v>33</v>
      </c>
      <c r="Y33" s="317" t="s">
        <v>33</v>
      </c>
      <c r="Z33" s="128">
        <f t="shared" ref="Z33:AE33" si="6">SUM(Z34:Z39)</f>
        <v>5.0126545433529532</v>
      </c>
      <c r="AA33" s="317" t="s">
        <v>33</v>
      </c>
      <c r="AB33" s="317" t="s">
        <v>33</v>
      </c>
      <c r="AC33" s="317" t="s">
        <v>33</v>
      </c>
      <c r="AD33" s="317" t="s">
        <v>33</v>
      </c>
      <c r="AE33" s="186">
        <f t="shared" si="6"/>
        <v>213</v>
      </c>
      <c r="AF33" s="317" t="s">
        <v>33</v>
      </c>
      <c r="AG33" s="317" t="s">
        <v>33</v>
      </c>
      <c r="AH33" s="128">
        <f>AH39</f>
        <v>5.0126545433529532</v>
      </c>
      <c r="AI33" s="317" t="s">
        <v>33</v>
      </c>
      <c r="AJ33" s="317" t="s">
        <v>33</v>
      </c>
      <c r="AK33" s="317" t="s">
        <v>33</v>
      </c>
      <c r="AL33" s="317" t="s">
        <v>33</v>
      </c>
      <c r="AM33" s="186">
        <f>AM39</f>
        <v>213</v>
      </c>
      <c r="AN33" s="317" t="s">
        <v>33</v>
      </c>
    </row>
    <row r="34" spans="1:40" s="129" customFormat="1" outlineLevel="1" x14ac:dyDescent="0.25">
      <c r="A34" s="13" t="s">
        <v>616</v>
      </c>
      <c r="B34" s="210" t="s">
        <v>621</v>
      </c>
      <c r="C34" s="201" t="s">
        <v>641</v>
      </c>
      <c r="D34" s="317" t="s">
        <v>33</v>
      </c>
      <c r="E34" s="317" t="s">
        <v>33</v>
      </c>
      <c r="F34" s="317" t="s">
        <v>33</v>
      </c>
      <c r="G34" s="317" t="s">
        <v>33</v>
      </c>
      <c r="H34" s="317" t="s">
        <v>33</v>
      </c>
      <c r="I34" s="317" t="s">
        <v>33</v>
      </c>
      <c r="J34" s="317" t="s">
        <v>33</v>
      </c>
      <c r="K34" s="317" t="s">
        <v>33</v>
      </c>
      <c r="L34" s="317" t="s">
        <v>33</v>
      </c>
      <c r="M34" s="317" t="s">
        <v>33</v>
      </c>
      <c r="N34" s="317" t="s">
        <v>33</v>
      </c>
      <c r="O34" s="317" t="s">
        <v>33</v>
      </c>
      <c r="P34" s="317" t="s">
        <v>33</v>
      </c>
      <c r="Q34" s="317" t="s">
        <v>33</v>
      </c>
      <c r="R34" s="317" t="s">
        <v>33</v>
      </c>
      <c r="S34" s="317" t="s">
        <v>33</v>
      </c>
      <c r="T34" s="317" t="s">
        <v>33</v>
      </c>
      <c r="U34" s="317" t="s">
        <v>33</v>
      </c>
      <c r="V34" s="317" t="s">
        <v>33</v>
      </c>
      <c r="W34" s="317" t="s">
        <v>33</v>
      </c>
      <c r="X34" s="317" t="s">
        <v>33</v>
      </c>
      <c r="Y34" s="317" t="s">
        <v>33</v>
      </c>
      <c r="Z34" s="317" t="s">
        <v>33</v>
      </c>
      <c r="AA34" s="317" t="s">
        <v>33</v>
      </c>
      <c r="AB34" s="317" t="s">
        <v>33</v>
      </c>
      <c r="AC34" s="317" t="s">
        <v>33</v>
      </c>
      <c r="AD34" s="317" t="s">
        <v>33</v>
      </c>
      <c r="AE34" s="317" t="s">
        <v>33</v>
      </c>
      <c r="AF34" s="317" t="s">
        <v>33</v>
      </c>
      <c r="AG34" s="317" t="s">
        <v>33</v>
      </c>
      <c r="AH34" s="317" t="s">
        <v>33</v>
      </c>
      <c r="AI34" s="317" t="s">
        <v>33</v>
      </c>
      <c r="AJ34" s="317" t="s">
        <v>33</v>
      </c>
      <c r="AK34" s="317" t="s">
        <v>33</v>
      </c>
      <c r="AL34" s="317" t="s">
        <v>33</v>
      </c>
      <c r="AM34" s="317" t="s">
        <v>33</v>
      </c>
      <c r="AN34" s="317" t="s">
        <v>33</v>
      </c>
    </row>
    <row r="35" spans="1:40" s="129" customFormat="1" outlineLevel="1" x14ac:dyDescent="0.25">
      <c r="A35" s="13" t="s">
        <v>617</v>
      </c>
      <c r="B35" s="210" t="s">
        <v>621</v>
      </c>
      <c r="C35" s="201" t="s">
        <v>1359</v>
      </c>
      <c r="D35" s="317" t="s">
        <v>33</v>
      </c>
      <c r="E35" s="317" t="s">
        <v>33</v>
      </c>
      <c r="F35" s="317" t="s">
        <v>33</v>
      </c>
      <c r="G35" s="317" t="s">
        <v>33</v>
      </c>
      <c r="H35" s="317" t="s">
        <v>33</v>
      </c>
      <c r="I35" s="317" t="s">
        <v>33</v>
      </c>
      <c r="J35" s="317" t="s">
        <v>33</v>
      </c>
      <c r="K35" s="317" t="s">
        <v>33</v>
      </c>
      <c r="L35" s="317" t="s">
        <v>33</v>
      </c>
      <c r="M35" s="317" t="s">
        <v>33</v>
      </c>
      <c r="N35" s="317" t="s">
        <v>33</v>
      </c>
      <c r="O35" s="317" t="s">
        <v>33</v>
      </c>
      <c r="P35" s="317" t="s">
        <v>33</v>
      </c>
      <c r="Q35" s="317" t="s">
        <v>33</v>
      </c>
      <c r="R35" s="317" t="s">
        <v>33</v>
      </c>
      <c r="S35" s="317" t="s">
        <v>33</v>
      </c>
      <c r="T35" s="317" t="s">
        <v>33</v>
      </c>
      <c r="U35" s="317" t="s">
        <v>33</v>
      </c>
      <c r="V35" s="317" t="s">
        <v>33</v>
      </c>
      <c r="W35" s="317" t="s">
        <v>33</v>
      </c>
      <c r="X35" s="317" t="s">
        <v>33</v>
      </c>
      <c r="Y35" s="317" t="s">
        <v>33</v>
      </c>
      <c r="Z35" s="317" t="s">
        <v>33</v>
      </c>
      <c r="AA35" s="317" t="s">
        <v>33</v>
      </c>
      <c r="AB35" s="317" t="s">
        <v>33</v>
      </c>
      <c r="AC35" s="317" t="s">
        <v>33</v>
      </c>
      <c r="AD35" s="317" t="s">
        <v>33</v>
      </c>
      <c r="AE35" s="317" t="s">
        <v>33</v>
      </c>
      <c r="AF35" s="317" t="s">
        <v>33</v>
      </c>
      <c r="AG35" s="317" t="s">
        <v>33</v>
      </c>
      <c r="AH35" s="317" t="s">
        <v>33</v>
      </c>
      <c r="AI35" s="317" t="s">
        <v>33</v>
      </c>
      <c r="AJ35" s="317" t="s">
        <v>33</v>
      </c>
      <c r="AK35" s="317" t="s">
        <v>33</v>
      </c>
      <c r="AL35" s="317" t="s">
        <v>33</v>
      </c>
      <c r="AM35" s="317" t="s">
        <v>33</v>
      </c>
      <c r="AN35" s="317" t="s">
        <v>33</v>
      </c>
    </row>
    <row r="36" spans="1:40" s="129" customFormat="1" outlineLevel="1" x14ac:dyDescent="0.25">
      <c r="A36" s="13" t="s">
        <v>618</v>
      </c>
      <c r="B36" s="210" t="s">
        <v>621</v>
      </c>
      <c r="C36" s="201" t="s">
        <v>1360</v>
      </c>
      <c r="D36" s="317" t="s">
        <v>33</v>
      </c>
      <c r="E36" s="317" t="s">
        <v>33</v>
      </c>
      <c r="F36" s="317" t="s">
        <v>33</v>
      </c>
      <c r="G36" s="317" t="s">
        <v>33</v>
      </c>
      <c r="H36" s="317" t="s">
        <v>33</v>
      </c>
      <c r="I36" s="317" t="s">
        <v>33</v>
      </c>
      <c r="J36" s="317" t="s">
        <v>33</v>
      </c>
      <c r="K36" s="317" t="s">
        <v>33</v>
      </c>
      <c r="L36" s="317" t="s">
        <v>33</v>
      </c>
      <c r="M36" s="317" t="s">
        <v>33</v>
      </c>
      <c r="N36" s="317" t="s">
        <v>33</v>
      </c>
      <c r="O36" s="317" t="s">
        <v>33</v>
      </c>
      <c r="P36" s="317" t="s">
        <v>33</v>
      </c>
      <c r="Q36" s="317" t="s">
        <v>33</v>
      </c>
      <c r="R36" s="317" t="s">
        <v>33</v>
      </c>
      <c r="S36" s="317" t="s">
        <v>33</v>
      </c>
      <c r="T36" s="317" t="s">
        <v>33</v>
      </c>
      <c r="U36" s="317" t="s">
        <v>33</v>
      </c>
      <c r="V36" s="317" t="s">
        <v>33</v>
      </c>
      <c r="W36" s="317" t="s">
        <v>33</v>
      </c>
      <c r="X36" s="317" t="s">
        <v>33</v>
      </c>
      <c r="Y36" s="317" t="s">
        <v>33</v>
      </c>
      <c r="Z36" s="317" t="s">
        <v>33</v>
      </c>
      <c r="AA36" s="317" t="s">
        <v>33</v>
      </c>
      <c r="AB36" s="317" t="s">
        <v>33</v>
      </c>
      <c r="AC36" s="317" t="s">
        <v>33</v>
      </c>
      <c r="AD36" s="317" t="s">
        <v>33</v>
      </c>
      <c r="AE36" s="317" t="s">
        <v>33</v>
      </c>
      <c r="AF36" s="317" t="s">
        <v>33</v>
      </c>
      <c r="AG36" s="317" t="s">
        <v>33</v>
      </c>
      <c r="AH36" s="317" t="s">
        <v>33</v>
      </c>
      <c r="AI36" s="317" t="s">
        <v>33</v>
      </c>
      <c r="AJ36" s="317" t="s">
        <v>33</v>
      </c>
      <c r="AK36" s="317" t="s">
        <v>33</v>
      </c>
      <c r="AL36" s="317" t="s">
        <v>33</v>
      </c>
      <c r="AM36" s="317" t="s">
        <v>33</v>
      </c>
      <c r="AN36" s="317" t="s">
        <v>33</v>
      </c>
    </row>
    <row r="37" spans="1:40" s="129" customFormat="1" ht="31.5" outlineLevel="1" x14ac:dyDescent="0.25">
      <c r="A37" s="13" t="s">
        <v>619</v>
      </c>
      <c r="B37" s="210" t="s">
        <v>1334</v>
      </c>
      <c r="C37" s="201" t="s">
        <v>1341</v>
      </c>
      <c r="D37" s="317" t="s">
        <v>33</v>
      </c>
      <c r="E37" s="317" t="s">
        <v>33</v>
      </c>
      <c r="F37" s="317" t="s">
        <v>33</v>
      </c>
      <c r="G37" s="317" t="s">
        <v>33</v>
      </c>
      <c r="H37" s="317" t="s">
        <v>33</v>
      </c>
      <c r="I37" s="317" t="s">
        <v>33</v>
      </c>
      <c r="J37" s="317" t="s">
        <v>33</v>
      </c>
      <c r="K37" s="317" t="s">
        <v>33</v>
      </c>
      <c r="L37" s="317" t="s">
        <v>33</v>
      </c>
      <c r="M37" s="317" t="s">
        <v>33</v>
      </c>
      <c r="N37" s="317" t="s">
        <v>33</v>
      </c>
      <c r="O37" s="317" t="s">
        <v>33</v>
      </c>
      <c r="P37" s="317" t="s">
        <v>33</v>
      </c>
      <c r="Q37" s="317" t="s">
        <v>33</v>
      </c>
      <c r="R37" s="317" t="s">
        <v>33</v>
      </c>
      <c r="S37" s="317" t="s">
        <v>33</v>
      </c>
      <c r="T37" s="317" t="s">
        <v>33</v>
      </c>
      <c r="U37" s="317" t="s">
        <v>33</v>
      </c>
      <c r="V37" s="317" t="s">
        <v>33</v>
      </c>
      <c r="W37" s="317" t="s">
        <v>33</v>
      </c>
      <c r="X37" s="317" t="s">
        <v>33</v>
      </c>
      <c r="Y37" s="317" t="s">
        <v>33</v>
      </c>
      <c r="Z37" s="317" t="s">
        <v>33</v>
      </c>
      <c r="AA37" s="317" t="s">
        <v>33</v>
      </c>
      <c r="AB37" s="317" t="s">
        <v>33</v>
      </c>
      <c r="AC37" s="317" t="s">
        <v>33</v>
      </c>
      <c r="AD37" s="317" t="s">
        <v>33</v>
      </c>
      <c r="AE37" s="317" t="s">
        <v>33</v>
      </c>
      <c r="AF37" s="317" t="s">
        <v>33</v>
      </c>
      <c r="AG37" s="317" t="s">
        <v>33</v>
      </c>
      <c r="AH37" s="317" t="s">
        <v>33</v>
      </c>
      <c r="AI37" s="317" t="s">
        <v>33</v>
      </c>
      <c r="AJ37" s="317" t="s">
        <v>33</v>
      </c>
      <c r="AK37" s="317" t="s">
        <v>33</v>
      </c>
      <c r="AL37" s="317" t="s">
        <v>33</v>
      </c>
      <c r="AM37" s="317" t="s">
        <v>33</v>
      </c>
      <c r="AN37" s="317" t="s">
        <v>33</v>
      </c>
    </row>
    <row r="38" spans="1:40" s="129" customFormat="1" outlineLevel="1" x14ac:dyDescent="0.25">
      <c r="A38" s="13" t="s">
        <v>620</v>
      </c>
      <c r="B38" s="210" t="s">
        <v>621</v>
      </c>
      <c r="C38" s="201" t="s">
        <v>644</v>
      </c>
      <c r="D38" s="317" t="s">
        <v>33</v>
      </c>
      <c r="E38" s="317" t="s">
        <v>33</v>
      </c>
      <c r="F38" s="317" t="s">
        <v>33</v>
      </c>
      <c r="G38" s="317" t="s">
        <v>33</v>
      </c>
      <c r="H38" s="317" t="s">
        <v>33</v>
      </c>
      <c r="I38" s="317" t="s">
        <v>33</v>
      </c>
      <c r="J38" s="317" t="s">
        <v>33</v>
      </c>
      <c r="K38" s="317" t="s">
        <v>33</v>
      </c>
      <c r="L38" s="317" t="s">
        <v>33</v>
      </c>
      <c r="M38" s="317" t="s">
        <v>33</v>
      </c>
      <c r="N38" s="317" t="s">
        <v>33</v>
      </c>
      <c r="O38" s="317" t="s">
        <v>33</v>
      </c>
      <c r="P38" s="317" t="s">
        <v>33</v>
      </c>
      <c r="Q38" s="317" t="s">
        <v>33</v>
      </c>
      <c r="R38" s="317" t="s">
        <v>33</v>
      </c>
      <c r="S38" s="317" t="s">
        <v>33</v>
      </c>
      <c r="T38" s="317" t="s">
        <v>33</v>
      </c>
      <c r="U38" s="317" t="s">
        <v>33</v>
      </c>
      <c r="V38" s="317" t="s">
        <v>33</v>
      </c>
      <c r="W38" s="317" t="s">
        <v>33</v>
      </c>
      <c r="X38" s="317" t="s">
        <v>33</v>
      </c>
      <c r="Y38" s="317" t="s">
        <v>33</v>
      </c>
      <c r="Z38" s="317" t="s">
        <v>33</v>
      </c>
      <c r="AA38" s="317" t="s">
        <v>33</v>
      </c>
      <c r="AB38" s="317" t="s">
        <v>33</v>
      </c>
      <c r="AC38" s="317" t="s">
        <v>33</v>
      </c>
      <c r="AD38" s="317" t="s">
        <v>33</v>
      </c>
      <c r="AE38" s="317" t="s">
        <v>33</v>
      </c>
      <c r="AF38" s="317" t="s">
        <v>33</v>
      </c>
      <c r="AG38" s="317" t="s">
        <v>33</v>
      </c>
      <c r="AH38" s="317" t="s">
        <v>33</v>
      </c>
      <c r="AI38" s="317" t="s">
        <v>33</v>
      </c>
      <c r="AJ38" s="317" t="s">
        <v>33</v>
      </c>
      <c r="AK38" s="317" t="s">
        <v>33</v>
      </c>
      <c r="AL38" s="317" t="s">
        <v>33</v>
      </c>
      <c r="AM38" s="317" t="s">
        <v>33</v>
      </c>
      <c r="AN38" s="317" t="s">
        <v>33</v>
      </c>
    </row>
    <row r="39" spans="1:40" s="129" customFormat="1" outlineLevel="1" x14ac:dyDescent="0.25">
      <c r="A39" s="13" t="s">
        <v>1339</v>
      </c>
      <c r="B39" s="210" t="s">
        <v>621</v>
      </c>
      <c r="C39" s="201" t="s">
        <v>645</v>
      </c>
      <c r="D39" s="317" t="s">
        <v>33</v>
      </c>
      <c r="E39" s="317" t="s">
        <v>33</v>
      </c>
      <c r="F39" s="317" t="s">
        <v>33</v>
      </c>
      <c r="G39" s="317" t="s">
        <v>33</v>
      </c>
      <c r="H39" s="317" t="s">
        <v>33</v>
      </c>
      <c r="I39" s="317" t="s">
        <v>33</v>
      </c>
      <c r="J39" s="317" t="s">
        <v>33</v>
      </c>
      <c r="K39" s="317" t="s">
        <v>33</v>
      </c>
      <c r="L39" s="317" t="s">
        <v>33</v>
      </c>
      <c r="M39" s="317" t="s">
        <v>33</v>
      </c>
      <c r="N39" s="317" t="s">
        <v>33</v>
      </c>
      <c r="O39" s="317" t="s">
        <v>33</v>
      </c>
      <c r="P39" s="317" t="s">
        <v>33</v>
      </c>
      <c r="Q39" s="317" t="s">
        <v>33</v>
      </c>
      <c r="R39" s="317" t="s">
        <v>33</v>
      </c>
      <c r="S39" s="317" t="s">
        <v>33</v>
      </c>
      <c r="T39" s="317" t="s">
        <v>33</v>
      </c>
      <c r="U39" s="317" t="s">
        <v>33</v>
      </c>
      <c r="V39" s="317" t="s">
        <v>33</v>
      </c>
      <c r="W39" s="317" t="s">
        <v>33</v>
      </c>
      <c r="X39" s="317" t="s">
        <v>33</v>
      </c>
      <c r="Y39" s="317" t="s">
        <v>33</v>
      </c>
      <c r="Z39" s="516">
        <f>Ф4!CO39</f>
        <v>5.0126545433529532</v>
      </c>
      <c r="AA39" s="516" t="str">
        <f>Ф4!CH39</f>
        <v>нд</v>
      </c>
      <c r="AB39" s="516" t="str">
        <f>Ф4!CI39</f>
        <v>нд</v>
      </c>
      <c r="AC39" s="516" t="str">
        <f>Ф4!CJ39</f>
        <v>нд</v>
      </c>
      <c r="AD39" s="519" t="str">
        <f>Ф4!CS39</f>
        <v>нд</v>
      </c>
      <c r="AE39" s="519">
        <f>Ф4!CT39</f>
        <v>213</v>
      </c>
      <c r="AF39" s="526" t="str">
        <f>Ф4!CM39</f>
        <v>нд</v>
      </c>
      <c r="AG39" s="517" t="s">
        <v>33</v>
      </c>
      <c r="AH39" s="516">
        <f>Z39</f>
        <v>5.0126545433529532</v>
      </c>
      <c r="AI39" s="517" t="s">
        <v>33</v>
      </c>
      <c r="AJ39" s="517" t="s">
        <v>33</v>
      </c>
      <c r="AK39" s="517" t="s">
        <v>33</v>
      </c>
      <c r="AL39" s="517" t="s">
        <v>33</v>
      </c>
      <c r="AM39" s="526">
        <f>AE39</f>
        <v>213</v>
      </c>
      <c r="AN39" s="517" t="s">
        <v>33</v>
      </c>
    </row>
    <row r="40" spans="1:40" s="178" customFormat="1" x14ac:dyDescent="0.25">
      <c r="A40" s="18" t="s">
        <v>466</v>
      </c>
      <c r="B40" s="168" t="s">
        <v>467</v>
      </c>
      <c r="C40" s="320" t="s">
        <v>33</v>
      </c>
      <c r="D40" s="320" t="s">
        <v>33</v>
      </c>
      <c r="E40" s="320" t="s">
        <v>33</v>
      </c>
      <c r="F40" s="320" t="s">
        <v>33</v>
      </c>
      <c r="G40" s="320" t="s">
        <v>33</v>
      </c>
      <c r="H40" s="320" t="s">
        <v>33</v>
      </c>
      <c r="I40" s="320" t="s">
        <v>33</v>
      </c>
      <c r="J40" s="320" t="s">
        <v>33</v>
      </c>
      <c r="K40" s="320" t="s">
        <v>33</v>
      </c>
      <c r="L40" s="320" t="s">
        <v>33</v>
      </c>
      <c r="M40" s="320" t="s">
        <v>33</v>
      </c>
      <c r="N40" s="320" t="s">
        <v>33</v>
      </c>
      <c r="O40" s="320" t="s">
        <v>33</v>
      </c>
      <c r="P40" s="320" t="s">
        <v>33</v>
      </c>
      <c r="Q40" s="320" t="s">
        <v>33</v>
      </c>
      <c r="R40" s="320" t="s">
        <v>33</v>
      </c>
      <c r="S40" s="320" t="s">
        <v>33</v>
      </c>
      <c r="T40" s="320" t="s">
        <v>33</v>
      </c>
      <c r="U40" s="320" t="s">
        <v>33</v>
      </c>
      <c r="V40" s="320" t="s">
        <v>33</v>
      </c>
      <c r="W40" s="320" t="s">
        <v>33</v>
      </c>
      <c r="X40" s="320" t="s">
        <v>33</v>
      </c>
      <c r="Y40" s="320" t="s">
        <v>33</v>
      </c>
      <c r="Z40" s="320" t="s">
        <v>33</v>
      </c>
      <c r="AA40" s="320" t="s">
        <v>33</v>
      </c>
      <c r="AB40" s="320" t="s">
        <v>33</v>
      </c>
      <c r="AC40" s="320" t="s">
        <v>33</v>
      </c>
      <c r="AD40" s="320" t="s">
        <v>33</v>
      </c>
      <c r="AE40" s="320" t="s">
        <v>33</v>
      </c>
      <c r="AF40" s="320" t="s">
        <v>33</v>
      </c>
      <c r="AG40" s="320" t="s">
        <v>33</v>
      </c>
      <c r="AH40" s="320" t="s">
        <v>33</v>
      </c>
      <c r="AI40" s="320" t="s">
        <v>33</v>
      </c>
      <c r="AJ40" s="320" t="s">
        <v>33</v>
      </c>
      <c r="AK40" s="320" t="s">
        <v>33</v>
      </c>
      <c r="AL40" s="320" t="s">
        <v>33</v>
      </c>
      <c r="AM40" s="320" t="s">
        <v>33</v>
      </c>
      <c r="AN40" s="320" t="s">
        <v>33</v>
      </c>
    </row>
    <row r="41" spans="1:40" s="189" customFormat="1" x14ac:dyDescent="0.25">
      <c r="A41" s="187" t="s">
        <v>468</v>
      </c>
      <c r="B41" s="399" t="s">
        <v>623</v>
      </c>
      <c r="C41" s="201" t="s">
        <v>1352</v>
      </c>
      <c r="D41" s="316" t="s">
        <v>33</v>
      </c>
      <c r="E41" s="316" t="s">
        <v>33</v>
      </c>
      <c r="F41" s="316" t="s">
        <v>33</v>
      </c>
      <c r="G41" s="316" t="s">
        <v>33</v>
      </c>
      <c r="H41" s="316" t="s">
        <v>33</v>
      </c>
      <c r="I41" s="316" t="s">
        <v>33</v>
      </c>
      <c r="J41" s="316" t="s">
        <v>33</v>
      </c>
      <c r="K41" s="316" t="s">
        <v>33</v>
      </c>
      <c r="L41" s="316" t="s">
        <v>33</v>
      </c>
      <c r="M41" s="316" t="s">
        <v>33</v>
      </c>
      <c r="N41" s="316" t="s">
        <v>33</v>
      </c>
      <c r="O41" s="316" t="s">
        <v>33</v>
      </c>
      <c r="P41" s="316" t="s">
        <v>33</v>
      </c>
      <c r="Q41" s="316" t="s">
        <v>33</v>
      </c>
      <c r="R41" s="316" t="s">
        <v>33</v>
      </c>
      <c r="S41" s="316" t="s">
        <v>33</v>
      </c>
      <c r="T41" s="316" t="s">
        <v>33</v>
      </c>
      <c r="U41" s="316" t="s">
        <v>33</v>
      </c>
      <c r="V41" s="316" t="s">
        <v>33</v>
      </c>
      <c r="W41" s="316" t="s">
        <v>33</v>
      </c>
      <c r="X41" s="316" t="s">
        <v>33</v>
      </c>
      <c r="Y41" s="316" t="s">
        <v>33</v>
      </c>
      <c r="Z41" s="316" t="s">
        <v>33</v>
      </c>
      <c r="AA41" s="316" t="s">
        <v>33</v>
      </c>
      <c r="AB41" s="316" t="s">
        <v>33</v>
      </c>
      <c r="AC41" s="316" t="s">
        <v>33</v>
      </c>
      <c r="AD41" s="316" t="s">
        <v>33</v>
      </c>
      <c r="AE41" s="316" t="s">
        <v>33</v>
      </c>
      <c r="AF41" s="316" t="s">
        <v>33</v>
      </c>
      <c r="AG41" s="316" t="s">
        <v>33</v>
      </c>
      <c r="AH41" s="316" t="s">
        <v>33</v>
      </c>
      <c r="AI41" s="316" t="s">
        <v>33</v>
      </c>
      <c r="AJ41" s="316" t="s">
        <v>33</v>
      </c>
      <c r="AK41" s="316" t="s">
        <v>33</v>
      </c>
      <c r="AL41" s="316" t="s">
        <v>33</v>
      </c>
      <c r="AM41" s="316" t="s">
        <v>33</v>
      </c>
      <c r="AN41" s="316" t="s">
        <v>33</v>
      </c>
    </row>
    <row r="42" spans="1:40" s="189" customFormat="1" x14ac:dyDescent="0.25">
      <c r="A42" s="187" t="s">
        <v>622</v>
      </c>
      <c r="B42" s="237" t="s">
        <v>1337</v>
      </c>
      <c r="C42" s="201" t="s">
        <v>1353</v>
      </c>
      <c r="D42" s="316" t="s">
        <v>33</v>
      </c>
      <c r="E42" s="316" t="s">
        <v>33</v>
      </c>
      <c r="F42" s="316" t="s">
        <v>33</v>
      </c>
      <c r="G42" s="316" t="s">
        <v>33</v>
      </c>
      <c r="H42" s="316" t="s">
        <v>33</v>
      </c>
      <c r="I42" s="316" t="s">
        <v>33</v>
      </c>
      <c r="J42" s="316" t="s">
        <v>33</v>
      </c>
      <c r="K42" s="316" t="s">
        <v>33</v>
      </c>
      <c r="L42" s="316" t="s">
        <v>33</v>
      </c>
      <c r="M42" s="316" t="s">
        <v>33</v>
      </c>
      <c r="N42" s="316" t="s">
        <v>33</v>
      </c>
      <c r="O42" s="316" t="s">
        <v>33</v>
      </c>
      <c r="P42" s="316" t="s">
        <v>33</v>
      </c>
      <c r="Q42" s="316" t="s">
        <v>33</v>
      </c>
      <c r="R42" s="316" t="s">
        <v>33</v>
      </c>
      <c r="S42" s="316" t="s">
        <v>33</v>
      </c>
      <c r="T42" s="316" t="s">
        <v>33</v>
      </c>
      <c r="U42" s="316" t="s">
        <v>33</v>
      </c>
      <c r="V42" s="316" t="s">
        <v>33</v>
      </c>
      <c r="W42" s="316" t="s">
        <v>33</v>
      </c>
      <c r="X42" s="316" t="s">
        <v>33</v>
      </c>
      <c r="Y42" s="316" t="s">
        <v>33</v>
      </c>
      <c r="Z42" s="316" t="s">
        <v>33</v>
      </c>
      <c r="AA42" s="316" t="s">
        <v>33</v>
      </c>
      <c r="AB42" s="316" t="s">
        <v>33</v>
      </c>
      <c r="AC42" s="316" t="s">
        <v>33</v>
      </c>
      <c r="AD42" s="316" t="s">
        <v>33</v>
      </c>
      <c r="AE42" s="316" t="s">
        <v>33</v>
      </c>
      <c r="AF42" s="316" t="s">
        <v>33</v>
      </c>
      <c r="AG42" s="316" t="s">
        <v>33</v>
      </c>
      <c r="AH42" s="316" t="s">
        <v>33</v>
      </c>
      <c r="AI42" s="316" t="s">
        <v>33</v>
      </c>
      <c r="AJ42" s="316" t="s">
        <v>33</v>
      </c>
      <c r="AK42" s="316" t="s">
        <v>33</v>
      </c>
      <c r="AL42" s="316" t="s">
        <v>33</v>
      </c>
      <c r="AM42" s="316" t="s">
        <v>33</v>
      </c>
      <c r="AN42" s="316" t="s">
        <v>33</v>
      </c>
    </row>
    <row r="43" spans="1:40" s="189" customFormat="1" x14ac:dyDescent="0.25">
      <c r="A43" s="187" t="s">
        <v>1335</v>
      </c>
      <c r="B43" s="399" t="s">
        <v>624</v>
      </c>
      <c r="C43" s="201" t="s">
        <v>646</v>
      </c>
      <c r="D43" s="316" t="s">
        <v>33</v>
      </c>
      <c r="E43" s="316" t="s">
        <v>33</v>
      </c>
      <c r="F43" s="316" t="s">
        <v>33</v>
      </c>
      <c r="G43" s="316" t="s">
        <v>33</v>
      </c>
      <c r="H43" s="316" t="s">
        <v>33</v>
      </c>
      <c r="I43" s="316" t="s">
        <v>33</v>
      </c>
      <c r="J43" s="316" t="s">
        <v>33</v>
      </c>
      <c r="K43" s="316" t="s">
        <v>33</v>
      </c>
      <c r="L43" s="316" t="s">
        <v>33</v>
      </c>
      <c r="M43" s="316" t="s">
        <v>33</v>
      </c>
      <c r="N43" s="316" t="s">
        <v>33</v>
      </c>
      <c r="O43" s="316" t="s">
        <v>33</v>
      </c>
      <c r="P43" s="316" t="s">
        <v>33</v>
      </c>
      <c r="Q43" s="316" t="s">
        <v>33</v>
      </c>
      <c r="R43" s="316" t="s">
        <v>33</v>
      </c>
      <c r="S43" s="316" t="s">
        <v>33</v>
      </c>
      <c r="T43" s="316" t="s">
        <v>33</v>
      </c>
      <c r="U43" s="316" t="s">
        <v>33</v>
      </c>
      <c r="V43" s="316" t="s">
        <v>33</v>
      </c>
      <c r="W43" s="316" t="s">
        <v>33</v>
      </c>
      <c r="X43" s="316" t="s">
        <v>33</v>
      </c>
      <c r="Y43" s="316" t="s">
        <v>33</v>
      </c>
      <c r="Z43" s="316" t="s">
        <v>33</v>
      </c>
      <c r="AA43" s="316" t="s">
        <v>33</v>
      </c>
      <c r="AB43" s="316" t="s">
        <v>33</v>
      </c>
      <c r="AC43" s="316" t="s">
        <v>33</v>
      </c>
      <c r="AD43" s="316" t="s">
        <v>33</v>
      </c>
      <c r="AE43" s="316" t="s">
        <v>33</v>
      </c>
      <c r="AF43" s="316" t="s">
        <v>33</v>
      </c>
      <c r="AG43" s="316" t="s">
        <v>33</v>
      </c>
      <c r="AH43" s="316" t="s">
        <v>33</v>
      </c>
      <c r="AI43" s="316" t="s">
        <v>33</v>
      </c>
      <c r="AJ43" s="316" t="s">
        <v>33</v>
      </c>
      <c r="AK43" s="316" t="s">
        <v>33</v>
      </c>
      <c r="AL43" s="316" t="s">
        <v>33</v>
      </c>
      <c r="AM43" s="316" t="s">
        <v>33</v>
      </c>
      <c r="AN43" s="316" t="s">
        <v>33</v>
      </c>
    </row>
    <row r="46" spans="1:40" ht="18.75" x14ac:dyDescent="0.25">
      <c r="B46" s="170" t="s">
        <v>52</v>
      </c>
      <c r="C46" s="171"/>
      <c r="D46" s="171"/>
      <c r="E46" s="171" t="s">
        <v>1325</v>
      </c>
    </row>
    <row r="47" spans="1:40" ht="18.75" x14ac:dyDescent="0.25">
      <c r="B47" s="170"/>
      <c r="C47" s="171"/>
      <c r="D47" s="171"/>
      <c r="E47" s="171"/>
    </row>
    <row r="48" spans="1:40" ht="18.75" x14ac:dyDescent="0.25">
      <c r="B48" s="170"/>
      <c r="C48" s="171"/>
      <c r="D48" s="171"/>
      <c r="E48" s="171"/>
    </row>
    <row r="51" spans="1:34" s="30" customFormat="1" x14ac:dyDescent="0.25">
      <c r="A51" s="633" t="s">
        <v>156</v>
      </c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87"/>
      <c r="R51" s="214"/>
      <c r="S51" s="214"/>
      <c r="T51" s="214"/>
      <c r="U51" s="214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1:34" s="30" customFormat="1" x14ac:dyDescent="0.25">
      <c r="A52" s="616" t="s">
        <v>157</v>
      </c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89"/>
      <c r="R52" s="213"/>
      <c r="S52" s="213"/>
      <c r="T52" s="213"/>
      <c r="U52" s="213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1:34" s="30" customFormat="1" x14ac:dyDescent="0.25">
      <c r="A53" s="616" t="s">
        <v>158</v>
      </c>
      <c r="B53" s="616"/>
      <c r="C53" s="616"/>
      <c r="D53" s="616"/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89"/>
      <c r="R53" s="213"/>
      <c r="S53" s="213"/>
      <c r="T53" s="213"/>
      <c r="U53" s="213"/>
      <c r="Y53" s="88"/>
      <c r="Z53" s="88"/>
      <c r="AA53" s="88"/>
      <c r="AB53" s="88"/>
      <c r="AC53" s="88"/>
      <c r="AD53" s="88"/>
      <c r="AE53" s="88"/>
      <c r="AF53" s="88"/>
      <c r="AG53" s="88"/>
      <c r="AH53" s="88"/>
    </row>
    <row r="54" spans="1:34" s="30" customFormat="1" x14ac:dyDescent="0.25">
      <c r="A54" s="616" t="s">
        <v>159</v>
      </c>
      <c r="B54" s="616"/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89"/>
      <c r="R54" s="213"/>
      <c r="S54" s="213"/>
      <c r="T54" s="213"/>
      <c r="U54" s="213"/>
      <c r="Y54" s="88"/>
      <c r="Z54" s="88"/>
      <c r="AA54" s="88"/>
      <c r="AB54" s="88"/>
      <c r="AC54" s="88"/>
      <c r="AD54" s="88"/>
      <c r="AE54" s="88"/>
      <c r="AF54" s="88"/>
      <c r="AG54" s="88"/>
      <c r="AH54" s="88"/>
    </row>
  </sheetData>
  <mergeCells count="25">
    <mergeCell ref="A1:AN1"/>
    <mergeCell ref="A2:AN2"/>
    <mergeCell ref="A4:AN4"/>
    <mergeCell ref="A5:AN5"/>
    <mergeCell ref="A7:AN7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51:P51"/>
    <mergeCell ref="A52:P52"/>
    <mergeCell ref="A53:P53"/>
    <mergeCell ref="A54:P54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V57"/>
  <sheetViews>
    <sheetView topLeftCell="T1" zoomScale="70" zoomScaleNormal="70" workbookViewId="0">
      <selection activeCell="V8" sqref="V8"/>
    </sheetView>
  </sheetViews>
  <sheetFormatPr defaultColWidth="8.85546875" defaultRowHeight="15.75" outlineLevelRow="1" x14ac:dyDescent="0.25"/>
  <cols>
    <col min="1" max="1" width="10" style="14" customWidth="1"/>
    <col min="2" max="2" width="75.42578125" customWidth="1"/>
    <col min="3" max="3" width="9.85546875" customWidth="1"/>
    <col min="4" max="8" width="5.7109375" customWidth="1"/>
    <col min="9" max="9" width="7" customWidth="1"/>
    <col min="10" max="15" width="5.7109375" customWidth="1"/>
    <col min="16" max="16" width="7.140625" customWidth="1"/>
    <col min="17" max="17" width="5.7109375" customWidth="1"/>
    <col min="18" max="18" width="5.85546875" customWidth="1"/>
    <col min="19" max="19" width="8.42578125" bestFit="1" customWidth="1"/>
    <col min="20" max="20" width="5.7109375" customWidth="1"/>
    <col min="21" max="21" width="8.7109375" customWidth="1"/>
    <col min="22" max="22" width="6.42578125" customWidth="1"/>
    <col min="23" max="23" width="7" customWidth="1"/>
    <col min="24" max="24" width="6.42578125" customWidth="1"/>
    <col min="25" max="25" width="6" customWidth="1"/>
    <col min="26" max="26" width="8.42578125" bestFit="1" customWidth="1"/>
    <col min="27" max="27" width="6.140625" customWidth="1"/>
    <col min="28" max="28" width="8.42578125" bestFit="1" customWidth="1"/>
    <col min="29" max="29" width="4.85546875" customWidth="1"/>
    <col min="30" max="30" width="6.28515625" customWidth="1"/>
    <col min="31" max="31" width="8.42578125" bestFit="1" customWidth="1"/>
    <col min="32" max="32" width="6" customWidth="1"/>
    <col min="33" max="34" width="6.28515625" bestFit="1" customWidth="1"/>
    <col min="35" max="35" width="8.42578125" bestFit="1" customWidth="1"/>
    <col min="36" max="36" width="6.28515625" bestFit="1" customWidth="1"/>
    <col min="37" max="37" width="6.28515625" customWidth="1"/>
    <col min="38" max="38" width="6.28515625" bestFit="1" customWidth="1"/>
    <col min="39" max="39" width="6" customWidth="1"/>
    <col min="40" max="40" width="8.5703125" bestFit="1" customWidth="1"/>
    <col min="41" max="41" width="5.42578125" customWidth="1"/>
    <col min="42" max="42" width="8.42578125" bestFit="1" customWidth="1"/>
    <col min="43" max="43" width="5.28515625" customWidth="1"/>
    <col min="44" max="44" width="5.42578125" customWidth="1"/>
    <col min="45" max="45" width="5.5703125" customWidth="1"/>
    <col min="46" max="46" width="5.28515625" customWidth="1"/>
    <col min="47" max="47" width="9.140625" customWidth="1"/>
    <col min="48" max="48" width="5.85546875" customWidth="1"/>
    <col min="49" max="49" width="8.42578125" bestFit="1" customWidth="1"/>
    <col min="50" max="50" width="5.85546875" customWidth="1"/>
    <col min="51" max="51" width="6.28515625" customWidth="1"/>
    <col min="52" max="52" width="5.42578125" customWidth="1"/>
    <col min="53" max="53" width="5.7109375" customWidth="1"/>
    <col min="54" max="54" width="9.28515625" customWidth="1"/>
    <col min="55" max="55" width="5" customWidth="1"/>
    <col min="56" max="56" width="8.42578125" bestFit="1" customWidth="1"/>
    <col min="57" max="57" width="5.42578125" customWidth="1"/>
    <col min="58" max="58" width="6.28515625" customWidth="1"/>
    <col min="59" max="59" width="5.42578125" customWidth="1"/>
    <col min="60" max="65" width="6.28515625" customWidth="1"/>
    <col min="66" max="71" width="5.7109375" customWidth="1"/>
    <col min="72" max="72" width="6.28515625" customWidth="1"/>
    <col min="73" max="73" width="6.5703125" customWidth="1"/>
    <col min="74" max="74" width="9.7109375" customWidth="1"/>
  </cols>
  <sheetData>
    <row r="1" spans="1:74" s="30" customFormat="1" x14ac:dyDescent="0.25">
      <c r="A1" s="657" t="s">
        <v>301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647"/>
      <c r="AU1" s="647"/>
      <c r="AV1" s="647"/>
      <c r="AW1" s="647"/>
      <c r="AX1" s="647"/>
      <c r="AY1" s="647"/>
      <c r="AZ1" s="647"/>
      <c r="BA1" s="647"/>
      <c r="BB1" s="647"/>
      <c r="BC1" s="647"/>
      <c r="BD1" s="647"/>
      <c r="BE1" s="647"/>
      <c r="BF1" s="647"/>
      <c r="BG1" s="647"/>
      <c r="BH1" s="647"/>
      <c r="BI1" s="647"/>
      <c r="BJ1" s="647"/>
      <c r="BK1" s="647"/>
      <c r="BL1" s="647"/>
      <c r="BM1" s="647"/>
      <c r="BN1" s="647"/>
      <c r="BO1" s="647"/>
      <c r="BP1" s="647"/>
      <c r="BQ1" s="647"/>
      <c r="BR1" s="647"/>
      <c r="BS1" s="647"/>
      <c r="BT1" s="647"/>
      <c r="BU1" s="647"/>
      <c r="BV1" s="647"/>
    </row>
    <row r="2" spans="1:74" s="30" customFormat="1" x14ac:dyDescent="0.25"/>
    <row r="3" spans="1:74" s="30" customFormat="1" ht="18.75" x14ac:dyDescent="0.25">
      <c r="A3" s="599" t="s">
        <v>75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 s="599"/>
      <c r="BR3" s="599"/>
      <c r="BS3" s="599"/>
      <c r="BT3" s="599"/>
      <c r="BU3" s="599"/>
      <c r="BV3" s="599"/>
    </row>
    <row r="4" spans="1:74" s="30" customFormat="1" x14ac:dyDescent="0.25">
      <c r="A4" s="605" t="s">
        <v>76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605"/>
      <c r="AP4" s="605"/>
      <c r="AQ4" s="605"/>
      <c r="AR4" s="605"/>
      <c r="AS4" s="605"/>
      <c r="AT4" s="605"/>
      <c r="AU4" s="605"/>
      <c r="AV4" s="605"/>
      <c r="AW4" s="605"/>
      <c r="AX4" s="605"/>
      <c r="AY4" s="605"/>
      <c r="AZ4" s="605"/>
      <c r="BA4" s="605"/>
      <c r="BB4" s="605"/>
      <c r="BC4" s="605"/>
      <c r="BD4" s="605"/>
      <c r="BE4" s="605"/>
      <c r="BF4" s="605"/>
      <c r="BG4" s="605"/>
      <c r="BH4" s="605"/>
      <c r="BI4" s="605"/>
      <c r="BJ4" s="605"/>
      <c r="BK4" s="605"/>
      <c r="BL4" s="605"/>
      <c r="BM4" s="605"/>
      <c r="BN4" s="605"/>
      <c r="BO4" s="605"/>
      <c r="BP4" s="605"/>
      <c r="BQ4" s="605"/>
      <c r="BR4" s="605"/>
      <c r="BS4" s="605"/>
      <c r="BT4" s="605"/>
      <c r="BU4" s="605"/>
      <c r="BV4" s="605"/>
    </row>
    <row r="5" spans="1:74" s="30" customFormat="1" x14ac:dyDescent="0.25">
      <c r="D5" s="107"/>
      <c r="E5" s="107"/>
      <c r="F5" s="107"/>
      <c r="G5" s="107"/>
      <c r="H5" s="107"/>
      <c r="I5" s="107"/>
      <c r="J5" s="107"/>
      <c r="K5" s="107"/>
      <c r="M5" s="107"/>
    </row>
    <row r="6" spans="1:74" s="30" customFormat="1" ht="18.75" x14ac:dyDescent="0.3">
      <c r="A6" s="601" t="s">
        <v>1371</v>
      </c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601"/>
      <c r="AM6" s="601"/>
      <c r="AN6" s="601"/>
      <c r="AO6" s="601"/>
      <c r="AP6" s="601"/>
      <c r="AQ6" s="601"/>
      <c r="AR6" s="601"/>
      <c r="AS6" s="601"/>
      <c r="AT6" s="601"/>
      <c r="AU6" s="601"/>
      <c r="AV6" s="601"/>
      <c r="AW6" s="601"/>
      <c r="AX6" s="601"/>
      <c r="AY6" s="601"/>
      <c r="AZ6" s="601"/>
      <c r="BA6" s="601"/>
      <c r="BB6" s="601"/>
      <c r="BC6" s="601"/>
      <c r="BD6" s="601"/>
      <c r="BE6" s="601"/>
      <c r="BF6" s="601"/>
      <c r="BG6" s="601"/>
      <c r="BH6" s="601"/>
      <c r="BI6" s="601"/>
      <c r="BJ6" s="601"/>
      <c r="BK6" s="601"/>
      <c r="BL6" s="601"/>
      <c r="BM6" s="601"/>
      <c r="BN6" s="601"/>
      <c r="BO6" s="601"/>
      <c r="BP6" s="601"/>
      <c r="BQ6" s="601"/>
      <c r="BR6" s="601"/>
      <c r="BS6" s="601"/>
      <c r="BT6" s="601"/>
      <c r="BU6" s="601"/>
      <c r="BV6" s="601"/>
    </row>
    <row r="7" spans="1:74" s="30" customFormat="1" x14ac:dyDescent="0.25"/>
    <row r="8" spans="1:74" s="30" customFormat="1" ht="18.75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528" t="s">
        <v>1346</v>
      </c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</row>
    <row r="9" spans="1:74" s="30" customFormat="1" x14ac:dyDescent="0.25">
      <c r="A9" s="600" t="s">
        <v>174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0"/>
      <c r="AE9" s="600"/>
      <c r="AF9" s="600"/>
      <c r="AG9" s="600"/>
      <c r="AH9" s="600"/>
      <c r="AI9" s="600"/>
      <c r="AJ9" s="600"/>
      <c r="AK9" s="600"/>
      <c r="AL9" s="600"/>
      <c r="AM9" s="600"/>
      <c r="AN9" s="600"/>
      <c r="AO9" s="600"/>
      <c r="AP9" s="600"/>
      <c r="AQ9" s="600"/>
      <c r="AR9" s="600"/>
      <c r="AS9" s="600"/>
      <c r="AT9" s="600"/>
      <c r="AU9" s="600"/>
      <c r="AV9" s="600"/>
      <c r="AW9" s="600"/>
      <c r="AX9" s="600"/>
      <c r="AY9" s="600"/>
      <c r="AZ9" s="600"/>
      <c r="BA9" s="600"/>
      <c r="BB9" s="600"/>
      <c r="BC9" s="600"/>
      <c r="BD9" s="600"/>
      <c r="BE9" s="600"/>
      <c r="BF9" s="600"/>
      <c r="BG9" s="600"/>
      <c r="BH9" s="600"/>
      <c r="BI9" s="600"/>
      <c r="BJ9" s="600"/>
      <c r="BK9" s="600"/>
      <c r="BL9" s="600"/>
      <c r="BM9" s="600"/>
      <c r="BN9" s="600"/>
      <c r="BO9" s="600"/>
      <c r="BP9" s="600"/>
      <c r="BQ9" s="600"/>
      <c r="BR9" s="600"/>
      <c r="BS9" s="600"/>
      <c r="BT9" s="600"/>
      <c r="BU9" s="600"/>
      <c r="BV9" s="600"/>
    </row>
    <row r="10" spans="1:74" s="30" customFormat="1" x14ac:dyDescent="0.25">
      <c r="A10" s="658"/>
      <c r="B10" s="658"/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110"/>
      <c r="AU10" s="110"/>
      <c r="AV10" s="110"/>
      <c r="AW10" s="110"/>
      <c r="AX10" s="110"/>
      <c r="AY10" s="175"/>
      <c r="AZ10" s="110"/>
      <c r="BA10" s="110"/>
      <c r="BB10" s="110"/>
      <c r="BC10" s="110"/>
      <c r="BD10" s="110"/>
      <c r="BE10" s="110"/>
      <c r="BF10" s="175"/>
      <c r="BG10" s="11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</row>
    <row r="11" spans="1:74" s="30" customFormat="1" ht="15.75" customHeight="1" x14ac:dyDescent="0.25">
      <c r="A11" s="651" t="s">
        <v>3</v>
      </c>
      <c r="B11" s="651" t="s">
        <v>4</v>
      </c>
      <c r="C11" s="651" t="s">
        <v>5</v>
      </c>
      <c r="D11" s="654" t="s">
        <v>302</v>
      </c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AY11" s="655"/>
      <c r="AZ11" s="655"/>
      <c r="BA11" s="655"/>
      <c r="BB11" s="655"/>
      <c r="BC11" s="655"/>
      <c r="BD11" s="655"/>
      <c r="BE11" s="655"/>
      <c r="BF11" s="655"/>
      <c r="BG11" s="655"/>
      <c r="BH11" s="655"/>
      <c r="BI11" s="655"/>
      <c r="BJ11" s="655"/>
      <c r="BK11" s="655"/>
      <c r="BL11" s="655"/>
      <c r="BM11" s="655"/>
      <c r="BN11" s="655"/>
      <c r="BO11" s="655"/>
      <c r="BP11" s="655"/>
      <c r="BQ11" s="655"/>
      <c r="BR11" s="655"/>
      <c r="BS11" s="655"/>
      <c r="BT11" s="655"/>
      <c r="BU11" s="656"/>
      <c r="BV11" s="620" t="s">
        <v>133</v>
      </c>
    </row>
    <row r="12" spans="1:74" s="30" customFormat="1" ht="11.25" customHeight="1" x14ac:dyDescent="0.25">
      <c r="A12" s="651"/>
      <c r="B12" s="651"/>
      <c r="C12" s="651"/>
      <c r="D12" s="650" t="s">
        <v>660</v>
      </c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 t="s">
        <v>661</v>
      </c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 t="s">
        <v>662</v>
      </c>
      <c r="AG12" s="650"/>
      <c r="AH12" s="650"/>
      <c r="AI12" s="650"/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0" t="s">
        <v>663</v>
      </c>
      <c r="AU12" s="650"/>
      <c r="AV12" s="650"/>
      <c r="AW12" s="650"/>
      <c r="AX12" s="650"/>
      <c r="AY12" s="650"/>
      <c r="AZ12" s="650"/>
      <c r="BA12" s="650"/>
      <c r="BB12" s="650"/>
      <c r="BC12" s="650"/>
      <c r="BD12" s="650"/>
      <c r="BE12" s="650"/>
      <c r="BF12" s="650"/>
      <c r="BG12" s="650"/>
      <c r="BH12" s="650" t="s">
        <v>664</v>
      </c>
      <c r="BI12" s="650"/>
      <c r="BJ12" s="650"/>
      <c r="BK12" s="650"/>
      <c r="BL12" s="650"/>
      <c r="BM12" s="650"/>
      <c r="BN12" s="650"/>
      <c r="BO12" s="650"/>
      <c r="BP12" s="650"/>
      <c r="BQ12" s="650"/>
      <c r="BR12" s="650"/>
      <c r="BS12" s="650"/>
      <c r="BT12" s="650"/>
      <c r="BU12" s="650"/>
      <c r="BV12" s="620"/>
    </row>
    <row r="13" spans="1:74" s="30" customFormat="1" ht="10.5" customHeight="1" x14ac:dyDescent="0.25">
      <c r="A13" s="651"/>
      <c r="B13" s="651"/>
      <c r="C13" s="651"/>
      <c r="D13" s="650"/>
      <c r="E13" s="650"/>
      <c r="F13" s="650"/>
      <c r="G13" s="650"/>
      <c r="H13" s="650"/>
      <c r="I13" s="650"/>
      <c r="J13" s="650"/>
      <c r="K13" s="650"/>
      <c r="L13" s="650"/>
      <c r="M13" s="650"/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0"/>
      <c r="AU13" s="650"/>
      <c r="AV13" s="650"/>
      <c r="AW13" s="650"/>
      <c r="AX13" s="650"/>
      <c r="AY13" s="650"/>
      <c r="AZ13" s="650"/>
      <c r="BA13" s="650"/>
      <c r="BB13" s="650"/>
      <c r="BC13" s="650"/>
      <c r="BD13" s="650"/>
      <c r="BE13" s="650"/>
      <c r="BF13" s="650"/>
      <c r="BG13" s="650"/>
      <c r="BH13" s="650"/>
      <c r="BI13" s="650"/>
      <c r="BJ13" s="650"/>
      <c r="BK13" s="650"/>
      <c r="BL13" s="650"/>
      <c r="BM13" s="650"/>
      <c r="BN13" s="650"/>
      <c r="BO13" s="650"/>
      <c r="BP13" s="650"/>
      <c r="BQ13" s="650"/>
      <c r="BR13" s="650"/>
      <c r="BS13" s="650"/>
      <c r="BT13" s="650"/>
      <c r="BU13" s="650"/>
      <c r="BV13" s="620"/>
    </row>
    <row r="14" spans="1:74" s="30" customFormat="1" ht="35.25" customHeight="1" x14ac:dyDescent="0.25">
      <c r="A14" s="651"/>
      <c r="B14" s="651"/>
      <c r="C14" s="651"/>
      <c r="D14" s="650" t="s">
        <v>470</v>
      </c>
      <c r="E14" s="650"/>
      <c r="F14" s="650"/>
      <c r="G14" s="650"/>
      <c r="H14" s="650"/>
      <c r="I14" s="650"/>
      <c r="J14" s="650"/>
      <c r="K14" s="620" t="s">
        <v>87</v>
      </c>
      <c r="L14" s="620"/>
      <c r="M14" s="620"/>
      <c r="N14" s="620"/>
      <c r="O14" s="620"/>
      <c r="P14" s="620"/>
      <c r="Q14" s="620"/>
      <c r="R14" s="650" t="s">
        <v>470</v>
      </c>
      <c r="S14" s="650"/>
      <c r="T14" s="650"/>
      <c r="U14" s="650"/>
      <c r="V14" s="650"/>
      <c r="W14" s="650"/>
      <c r="X14" s="650"/>
      <c r="Y14" s="620" t="s">
        <v>87</v>
      </c>
      <c r="Z14" s="620"/>
      <c r="AA14" s="620"/>
      <c r="AB14" s="620"/>
      <c r="AC14" s="620"/>
      <c r="AD14" s="620"/>
      <c r="AE14" s="620"/>
      <c r="AF14" s="650" t="s">
        <v>470</v>
      </c>
      <c r="AG14" s="650"/>
      <c r="AH14" s="650"/>
      <c r="AI14" s="650"/>
      <c r="AJ14" s="650"/>
      <c r="AK14" s="650"/>
      <c r="AL14" s="650"/>
      <c r="AM14" s="620" t="s">
        <v>87</v>
      </c>
      <c r="AN14" s="620"/>
      <c r="AO14" s="620"/>
      <c r="AP14" s="620"/>
      <c r="AQ14" s="620"/>
      <c r="AR14" s="620"/>
      <c r="AS14" s="620"/>
      <c r="AT14" s="650" t="s">
        <v>470</v>
      </c>
      <c r="AU14" s="650"/>
      <c r="AV14" s="650"/>
      <c r="AW14" s="650"/>
      <c r="AX14" s="650"/>
      <c r="AY14" s="650"/>
      <c r="AZ14" s="650"/>
      <c r="BA14" s="620" t="s">
        <v>87</v>
      </c>
      <c r="BB14" s="620"/>
      <c r="BC14" s="620"/>
      <c r="BD14" s="620"/>
      <c r="BE14" s="620"/>
      <c r="BF14" s="620"/>
      <c r="BG14" s="620"/>
      <c r="BH14" s="650" t="s">
        <v>470</v>
      </c>
      <c r="BI14" s="650"/>
      <c r="BJ14" s="650"/>
      <c r="BK14" s="650"/>
      <c r="BL14" s="650"/>
      <c r="BM14" s="650"/>
      <c r="BN14" s="650"/>
      <c r="BO14" s="620" t="s">
        <v>87</v>
      </c>
      <c r="BP14" s="620"/>
      <c r="BQ14" s="620"/>
      <c r="BR14" s="620"/>
      <c r="BS14" s="620"/>
      <c r="BT14" s="620"/>
      <c r="BU14" s="620"/>
      <c r="BV14" s="620"/>
    </row>
    <row r="15" spans="1:74" s="30" customFormat="1" ht="120" x14ac:dyDescent="0.25">
      <c r="A15" s="651"/>
      <c r="B15" s="651"/>
      <c r="C15" s="651"/>
      <c r="D15" s="114" t="s">
        <v>303</v>
      </c>
      <c r="E15" s="114" t="s">
        <v>184</v>
      </c>
      <c r="F15" s="114" t="s">
        <v>185</v>
      </c>
      <c r="G15" s="102" t="s">
        <v>186</v>
      </c>
      <c r="H15" s="114" t="s">
        <v>187</v>
      </c>
      <c r="I15" s="179" t="s">
        <v>506</v>
      </c>
      <c r="J15" s="179" t="s">
        <v>507</v>
      </c>
      <c r="K15" s="114" t="s">
        <v>303</v>
      </c>
      <c r="L15" s="114" t="s">
        <v>184</v>
      </c>
      <c r="M15" s="114" t="s">
        <v>185</v>
      </c>
      <c r="N15" s="102" t="s">
        <v>186</v>
      </c>
      <c r="O15" s="114" t="s">
        <v>187</v>
      </c>
      <c r="P15" s="179" t="s">
        <v>506</v>
      </c>
      <c r="Q15" s="179" t="s">
        <v>507</v>
      </c>
      <c r="R15" s="114" t="s">
        <v>303</v>
      </c>
      <c r="S15" s="114" t="s">
        <v>184</v>
      </c>
      <c r="T15" s="114" t="s">
        <v>185</v>
      </c>
      <c r="U15" s="102" t="s">
        <v>186</v>
      </c>
      <c r="V15" s="114" t="s">
        <v>187</v>
      </c>
      <c r="W15" s="179" t="s">
        <v>506</v>
      </c>
      <c r="X15" s="179" t="s">
        <v>507</v>
      </c>
      <c r="Y15" s="114" t="s">
        <v>303</v>
      </c>
      <c r="Z15" s="114" t="s">
        <v>184</v>
      </c>
      <c r="AA15" s="114" t="s">
        <v>185</v>
      </c>
      <c r="AB15" s="102" t="s">
        <v>186</v>
      </c>
      <c r="AC15" s="114" t="s">
        <v>187</v>
      </c>
      <c r="AD15" s="179" t="s">
        <v>506</v>
      </c>
      <c r="AE15" s="179" t="s">
        <v>507</v>
      </c>
      <c r="AF15" s="216" t="s">
        <v>303</v>
      </c>
      <c r="AG15" s="216" t="s">
        <v>184</v>
      </c>
      <c r="AH15" s="216" t="s">
        <v>185</v>
      </c>
      <c r="AI15" s="215" t="s">
        <v>186</v>
      </c>
      <c r="AJ15" s="216" t="s">
        <v>187</v>
      </c>
      <c r="AK15" s="216" t="s">
        <v>506</v>
      </c>
      <c r="AL15" s="216" t="s">
        <v>507</v>
      </c>
      <c r="AM15" s="216" t="s">
        <v>303</v>
      </c>
      <c r="AN15" s="216" t="s">
        <v>184</v>
      </c>
      <c r="AO15" s="216" t="s">
        <v>185</v>
      </c>
      <c r="AP15" s="215" t="s">
        <v>186</v>
      </c>
      <c r="AQ15" s="216" t="s">
        <v>187</v>
      </c>
      <c r="AR15" s="216" t="s">
        <v>506</v>
      </c>
      <c r="AS15" s="216" t="s">
        <v>507</v>
      </c>
      <c r="AT15" s="114" t="s">
        <v>303</v>
      </c>
      <c r="AU15" s="114" t="s">
        <v>184</v>
      </c>
      <c r="AV15" s="114" t="s">
        <v>185</v>
      </c>
      <c r="AW15" s="102" t="s">
        <v>186</v>
      </c>
      <c r="AX15" s="114" t="s">
        <v>187</v>
      </c>
      <c r="AY15" s="179" t="s">
        <v>506</v>
      </c>
      <c r="AZ15" s="179" t="s">
        <v>507</v>
      </c>
      <c r="BA15" s="114" t="s">
        <v>303</v>
      </c>
      <c r="BB15" s="114" t="s">
        <v>184</v>
      </c>
      <c r="BC15" s="114" t="s">
        <v>185</v>
      </c>
      <c r="BD15" s="102" t="s">
        <v>186</v>
      </c>
      <c r="BE15" s="114" t="s">
        <v>187</v>
      </c>
      <c r="BF15" s="179" t="s">
        <v>506</v>
      </c>
      <c r="BG15" s="179" t="s">
        <v>507</v>
      </c>
      <c r="BH15" s="216" t="s">
        <v>303</v>
      </c>
      <c r="BI15" s="216" t="s">
        <v>184</v>
      </c>
      <c r="BJ15" s="216" t="s">
        <v>185</v>
      </c>
      <c r="BK15" s="215" t="s">
        <v>186</v>
      </c>
      <c r="BL15" s="216" t="s">
        <v>187</v>
      </c>
      <c r="BM15" s="216" t="s">
        <v>506</v>
      </c>
      <c r="BN15" s="216" t="s">
        <v>507</v>
      </c>
      <c r="BO15" s="216" t="s">
        <v>303</v>
      </c>
      <c r="BP15" s="216" t="s">
        <v>184</v>
      </c>
      <c r="BQ15" s="216" t="s">
        <v>185</v>
      </c>
      <c r="BR15" s="215" t="s">
        <v>186</v>
      </c>
      <c r="BS15" s="216" t="s">
        <v>187</v>
      </c>
      <c r="BT15" s="216" t="s">
        <v>506</v>
      </c>
      <c r="BU15" s="216" t="s">
        <v>507</v>
      </c>
      <c r="BV15" s="620"/>
    </row>
    <row r="16" spans="1:74" s="30" customFormat="1" x14ac:dyDescent="0.25">
      <c r="A16" s="115">
        <v>1</v>
      </c>
      <c r="B16" s="115">
        <v>2</v>
      </c>
      <c r="C16" s="115">
        <v>3</v>
      </c>
      <c r="D16" s="116" t="s">
        <v>304</v>
      </c>
      <c r="E16" s="116" t="s">
        <v>305</v>
      </c>
      <c r="F16" s="116" t="s">
        <v>306</v>
      </c>
      <c r="G16" s="116" t="s">
        <v>307</v>
      </c>
      <c r="H16" s="116" t="s">
        <v>308</v>
      </c>
      <c r="I16" s="116" t="s">
        <v>309</v>
      </c>
      <c r="J16" s="116" t="s">
        <v>518</v>
      </c>
      <c r="K16" s="116" t="s">
        <v>310</v>
      </c>
      <c r="L16" s="116" t="s">
        <v>311</v>
      </c>
      <c r="M16" s="116" t="s">
        <v>312</v>
      </c>
      <c r="N16" s="116" t="s">
        <v>313</v>
      </c>
      <c r="O16" s="116" t="s">
        <v>314</v>
      </c>
      <c r="P16" s="116" t="s">
        <v>315</v>
      </c>
      <c r="Q16" s="116" t="s">
        <v>519</v>
      </c>
      <c r="R16" s="116" t="s">
        <v>316</v>
      </c>
      <c r="S16" s="116" t="s">
        <v>317</v>
      </c>
      <c r="T16" s="116" t="s">
        <v>318</v>
      </c>
      <c r="U16" s="116" t="s">
        <v>319</v>
      </c>
      <c r="V16" s="116" t="s">
        <v>320</v>
      </c>
      <c r="W16" s="116" t="s">
        <v>321</v>
      </c>
      <c r="X16" s="116" t="s">
        <v>520</v>
      </c>
      <c r="Y16" s="116" t="s">
        <v>322</v>
      </c>
      <c r="Z16" s="116" t="s">
        <v>323</v>
      </c>
      <c r="AA16" s="116" t="s">
        <v>324</v>
      </c>
      <c r="AB16" s="116" t="s">
        <v>325</v>
      </c>
      <c r="AC16" s="116" t="s">
        <v>326</v>
      </c>
      <c r="AD16" s="116" t="s">
        <v>327</v>
      </c>
      <c r="AE16" s="116" t="s">
        <v>521</v>
      </c>
      <c r="AF16" s="116" t="s">
        <v>328</v>
      </c>
      <c r="AG16" s="116" t="s">
        <v>329</v>
      </c>
      <c r="AH16" s="116" t="s">
        <v>330</v>
      </c>
      <c r="AI16" s="116" t="s">
        <v>331</v>
      </c>
      <c r="AJ16" s="116" t="s">
        <v>332</v>
      </c>
      <c r="AK16" s="116" t="s">
        <v>333</v>
      </c>
      <c r="AL16" s="116" t="s">
        <v>522</v>
      </c>
      <c r="AM16" s="116" t="s">
        <v>334</v>
      </c>
      <c r="AN16" s="116" t="s">
        <v>335</v>
      </c>
      <c r="AO16" s="116" t="s">
        <v>336</v>
      </c>
      <c r="AP16" s="116" t="s">
        <v>337</v>
      </c>
      <c r="AQ16" s="116" t="s">
        <v>338</v>
      </c>
      <c r="AR16" s="116" t="s">
        <v>339</v>
      </c>
      <c r="AS16" s="116" t="s">
        <v>523</v>
      </c>
      <c r="AT16" s="116" t="s">
        <v>328</v>
      </c>
      <c r="AU16" s="116" t="s">
        <v>329</v>
      </c>
      <c r="AV16" s="116" t="s">
        <v>330</v>
      </c>
      <c r="AW16" s="116" t="s">
        <v>331</v>
      </c>
      <c r="AX16" s="116" t="s">
        <v>332</v>
      </c>
      <c r="AY16" s="116" t="s">
        <v>333</v>
      </c>
      <c r="AZ16" s="116" t="s">
        <v>522</v>
      </c>
      <c r="BA16" s="116" t="s">
        <v>334</v>
      </c>
      <c r="BB16" s="116" t="s">
        <v>335</v>
      </c>
      <c r="BC16" s="116" t="s">
        <v>336</v>
      </c>
      <c r="BD16" s="116" t="s">
        <v>337</v>
      </c>
      <c r="BE16" s="116" t="s">
        <v>338</v>
      </c>
      <c r="BF16" s="116" t="s">
        <v>339</v>
      </c>
      <c r="BG16" s="116" t="s">
        <v>523</v>
      </c>
      <c r="BH16" s="116" t="s">
        <v>328</v>
      </c>
      <c r="BI16" s="116" t="s">
        <v>329</v>
      </c>
      <c r="BJ16" s="116" t="s">
        <v>330</v>
      </c>
      <c r="BK16" s="116" t="s">
        <v>331</v>
      </c>
      <c r="BL16" s="116" t="s">
        <v>332</v>
      </c>
      <c r="BM16" s="116" t="s">
        <v>333</v>
      </c>
      <c r="BN16" s="116" t="s">
        <v>522</v>
      </c>
      <c r="BO16" s="116" t="s">
        <v>334</v>
      </c>
      <c r="BP16" s="116" t="s">
        <v>335</v>
      </c>
      <c r="BQ16" s="116" t="s">
        <v>336</v>
      </c>
      <c r="BR16" s="116" t="s">
        <v>337</v>
      </c>
      <c r="BS16" s="116" t="s">
        <v>338</v>
      </c>
      <c r="BT16" s="116" t="s">
        <v>339</v>
      </c>
      <c r="BU16" s="116" t="s">
        <v>523</v>
      </c>
      <c r="BV16" s="116" t="s">
        <v>296</v>
      </c>
    </row>
    <row r="17" spans="1:74" s="120" customFormat="1" x14ac:dyDescent="0.25">
      <c r="A17" s="118" t="s">
        <v>31</v>
      </c>
      <c r="B17" s="38" t="s">
        <v>32</v>
      </c>
      <c r="C17" s="119" t="s">
        <v>33</v>
      </c>
      <c r="D17" s="182" t="str">
        <f t="shared" ref="D17:BQ17" si="0">D18</f>
        <v>IV</v>
      </c>
      <c r="E17" s="119" t="str">
        <f>E18</f>
        <v>нд</v>
      </c>
      <c r="F17" s="119" t="str">
        <f t="shared" si="0"/>
        <v>нд</v>
      </c>
      <c r="G17" s="119" t="str">
        <f t="shared" si="0"/>
        <v>нд</v>
      </c>
      <c r="H17" s="119" t="str">
        <f t="shared" si="0"/>
        <v>нд</v>
      </c>
      <c r="I17" s="182">
        <f t="shared" si="0"/>
        <v>347</v>
      </c>
      <c r="J17" s="119" t="str">
        <f t="shared" si="0"/>
        <v>нд</v>
      </c>
      <c r="K17" s="182" t="str">
        <f t="shared" si="0"/>
        <v>IV</v>
      </c>
      <c r="L17" s="119" t="str">
        <f t="shared" si="0"/>
        <v>нд</v>
      </c>
      <c r="M17" s="119" t="str">
        <f t="shared" si="0"/>
        <v>нд</v>
      </c>
      <c r="N17" s="119" t="str">
        <f t="shared" si="0"/>
        <v>нд</v>
      </c>
      <c r="O17" s="119" t="str">
        <f t="shared" si="0"/>
        <v>нд</v>
      </c>
      <c r="P17" s="182">
        <f t="shared" si="0"/>
        <v>347</v>
      </c>
      <c r="Q17" s="119" t="str">
        <f t="shared" si="0"/>
        <v>нд</v>
      </c>
      <c r="R17" s="182" t="str">
        <f t="shared" si="0"/>
        <v>IV</v>
      </c>
      <c r="S17" s="119">
        <f t="shared" si="0"/>
        <v>0.25</v>
      </c>
      <c r="T17" s="119" t="str">
        <f t="shared" si="0"/>
        <v>нд</v>
      </c>
      <c r="U17" s="119">
        <f t="shared" si="0"/>
        <v>3.95</v>
      </c>
      <c r="V17" s="119" t="str">
        <f t="shared" si="0"/>
        <v>нд</v>
      </c>
      <c r="W17" s="182">
        <f t="shared" si="0"/>
        <v>287</v>
      </c>
      <c r="X17" s="119" t="str">
        <f t="shared" si="0"/>
        <v>нд</v>
      </c>
      <c r="Y17" s="182" t="str">
        <f t="shared" si="0"/>
        <v>IV</v>
      </c>
      <c r="Z17" s="119">
        <f t="shared" si="0"/>
        <v>0.25</v>
      </c>
      <c r="AA17" s="119" t="str">
        <f t="shared" si="0"/>
        <v>нд</v>
      </c>
      <c r="AB17" s="119">
        <f t="shared" si="0"/>
        <v>3.3</v>
      </c>
      <c r="AC17" s="119" t="str">
        <f t="shared" si="0"/>
        <v>нд</v>
      </c>
      <c r="AD17" s="119" t="str">
        <f t="shared" si="0"/>
        <v>нд</v>
      </c>
      <c r="AE17" s="119" t="str">
        <f t="shared" si="0"/>
        <v>нд</v>
      </c>
      <c r="AF17" s="182" t="str">
        <f t="shared" si="0"/>
        <v>нд</v>
      </c>
      <c r="AG17" s="119" t="str">
        <f t="shared" si="0"/>
        <v>нд</v>
      </c>
      <c r="AH17" s="119" t="str">
        <f t="shared" si="0"/>
        <v>нд</v>
      </c>
      <c r="AI17" s="119">
        <f t="shared" si="0"/>
        <v>1.5669999999999999</v>
      </c>
      <c r="AJ17" s="119" t="str">
        <f t="shared" si="0"/>
        <v>нд</v>
      </c>
      <c r="AK17" s="231">
        <f t="shared" si="0"/>
        <v>171</v>
      </c>
      <c r="AL17" s="231">
        <f t="shared" si="0"/>
        <v>1</v>
      </c>
      <c r="AM17" s="182" t="str">
        <f t="shared" si="0"/>
        <v>нд</v>
      </c>
      <c r="AN17" s="119" t="str">
        <f t="shared" si="0"/>
        <v>нд</v>
      </c>
      <c r="AO17" s="119" t="str">
        <f t="shared" si="0"/>
        <v>нд</v>
      </c>
      <c r="AP17" s="119">
        <f t="shared" si="0"/>
        <v>3.24715</v>
      </c>
      <c r="AQ17" s="119" t="str">
        <f t="shared" si="0"/>
        <v>нд</v>
      </c>
      <c r="AR17" s="231">
        <f t="shared" si="0"/>
        <v>1</v>
      </c>
      <c r="AS17" s="182">
        <f t="shared" si="0"/>
        <v>2</v>
      </c>
      <c r="AT17" s="182" t="str">
        <f t="shared" si="0"/>
        <v>IV</v>
      </c>
      <c r="AU17" s="119">
        <f t="shared" si="0"/>
        <v>0.66</v>
      </c>
      <c r="AV17" s="119" t="str">
        <f t="shared" si="0"/>
        <v>нд</v>
      </c>
      <c r="AW17" s="119">
        <f t="shared" si="0"/>
        <v>2.0659999999999998</v>
      </c>
      <c r="AX17" s="119" t="str">
        <f t="shared" si="0"/>
        <v>нд</v>
      </c>
      <c r="AY17" s="231">
        <f t="shared" si="0"/>
        <v>201</v>
      </c>
      <c r="AZ17" s="231">
        <f t="shared" si="0"/>
        <v>1</v>
      </c>
      <c r="BA17" s="182" t="str">
        <f t="shared" si="0"/>
        <v>IV</v>
      </c>
      <c r="BB17" s="119">
        <f t="shared" si="0"/>
        <v>0.66</v>
      </c>
      <c r="BC17" s="119" t="str">
        <f t="shared" si="0"/>
        <v>нд</v>
      </c>
      <c r="BD17" s="119">
        <f t="shared" si="0"/>
        <v>2.0659999999999998</v>
      </c>
      <c r="BE17" s="119" t="str">
        <f t="shared" si="0"/>
        <v>нд</v>
      </c>
      <c r="BF17" s="231">
        <f t="shared" si="0"/>
        <v>201</v>
      </c>
      <c r="BG17" s="231">
        <f t="shared" si="0"/>
        <v>1</v>
      </c>
      <c r="BH17" s="182" t="str">
        <f t="shared" si="0"/>
        <v>IV</v>
      </c>
      <c r="BI17" s="119" t="str">
        <f t="shared" si="0"/>
        <v>нд</v>
      </c>
      <c r="BJ17" s="119" t="str">
        <f t="shared" si="0"/>
        <v>нд</v>
      </c>
      <c r="BK17" s="119" t="str">
        <f t="shared" si="0"/>
        <v>нд</v>
      </c>
      <c r="BL17" s="119" t="str">
        <f t="shared" si="0"/>
        <v>нд</v>
      </c>
      <c r="BM17" s="231">
        <f t="shared" si="0"/>
        <v>213</v>
      </c>
      <c r="BN17" s="119" t="str">
        <f t="shared" si="0"/>
        <v>нд</v>
      </c>
      <c r="BO17" s="182" t="str">
        <f t="shared" si="0"/>
        <v>IV</v>
      </c>
      <c r="BP17" s="119" t="str">
        <f t="shared" si="0"/>
        <v>нд</v>
      </c>
      <c r="BQ17" s="119" t="str">
        <f t="shared" si="0"/>
        <v>нд</v>
      </c>
      <c r="BR17" s="119" t="str">
        <f t="shared" ref="BR17:BV17" si="1">BR18</f>
        <v>нд</v>
      </c>
      <c r="BS17" s="119" t="str">
        <f t="shared" si="1"/>
        <v>нд</v>
      </c>
      <c r="BT17" s="231">
        <f t="shared" si="1"/>
        <v>213</v>
      </c>
      <c r="BU17" s="119" t="str">
        <f t="shared" si="1"/>
        <v>нд</v>
      </c>
      <c r="BV17" s="119" t="str">
        <f t="shared" si="1"/>
        <v>нд</v>
      </c>
    </row>
    <row r="18" spans="1:74" s="123" customFormat="1" x14ac:dyDescent="0.25">
      <c r="A18" s="121" t="s">
        <v>55</v>
      </c>
      <c r="B18" s="9" t="s">
        <v>34</v>
      </c>
      <c r="C18" s="122" t="s">
        <v>33</v>
      </c>
      <c r="D18" s="183" t="str">
        <f>D19</f>
        <v>IV</v>
      </c>
      <c r="E18" s="122" t="s">
        <v>33</v>
      </c>
      <c r="F18" s="122" t="s">
        <v>33</v>
      </c>
      <c r="G18" s="122" t="s">
        <v>33</v>
      </c>
      <c r="H18" s="122" t="s">
        <v>33</v>
      </c>
      <c r="I18" s="183">
        <f>I19</f>
        <v>347</v>
      </c>
      <c r="J18" s="122" t="s">
        <v>33</v>
      </c>
      <c r="K18" s="183" t="str">
        <f>K19</f>
        <v>IV</v>
      </c>
      <c r="L18" s="122" t="s">
        <v>33</v>
      </c>
      <c r="M18" s="122" t="s">
        <v>33</v>
      </c>
      <c r="N18" s="122" t="s">
        <v>33</v>
      </c>
      <c r="O18" s="122" t="s">
        <v>33</v>
      </c>
      <c r="P18" s="183">
        <f>P19</f>
        <v>347</v>
      </c>
      <c r="Q18" s="122" t="s">
        <v>33</v>
      </c>
      <c r="R18" s="183" t="str">
        <f>R19</f>
        <v>IV</v>
      </c>
      <c r="S18" s="122">
        <f>S19</f>
        <v>0.25</v>
      </c>
      <c r="T18" s="122" t="s">
        <v>33</v>
      </c>
      <c r="U18" s="122">
        <f>U19</f>
        <v>3.95</v>
      </c>
      <c r="V18" s="122" t="str">
        <f t="shared" ref="V18" si="2">V19</f>
        <v>нд</v>
      </c>
      <c r="W18" s="183">
        <f>W19</f>
        <v>287</v>
      </c>
      <c r="X18" s="122" t="s">
        <v>33</v>
      </c>
      <c r="Y18" s="183" t="str">
        <f>Y19</f>
        <v>IV</v>
      </c>
      <c r="Z18" s="122">
        <f>Z19</f>
        <v>0.25</v>
      </c>
      <c r="AA18" s="122" t="s">
        <v>33</v>
      </c>
      <c r="AB18" s="122">
        <f>AB19</f>
        <v>3.3</v>
      </c>
      <c r="AC18" s="122" t="s">
        <v>33</v>
      </c>
      <c r="AD18" s="122" t="s">
        <v>33</v>
      </c>
      <c r="AE18" s="122" t="s">
        <v>33</v>
      </c>
      <c r="AF18" s="183" t="str">
        <f>AF19</f>
        <v>нд</v>
      </c>
      <c r="AG18" s="122" t="s">
        <v>33</v>
      </c>
      <c r="AH18" s="122" t="s">
        <v>33</v>
      </c>
      <c r="AI18" s="122">
        <f>AI19</f>
        <v>1.5669999999999999</v>
      </c>
      <c r="AJ18" s="122" t="s">
        <v>33</v>
      </c>
      <c r="AK18" s="232">
        <f>AK19</f>
        <v>171</v>
      </c>
      <c r="AL18" s="232">
        <f>AL40</f>
        <v>1</v>
      </c>
      <c r="AM18" s="183" t="str">
        <f>AM19</f>
        <v>нд</v>
      </c>
      <c r="AN18" s="122" t="s">
        <v>33</v>
      </c>
      <c r="AO18" s="122" t="s">
        <v>33</v>
      </c>
      <c r="AP18" s="122">
        <f>AP19</f>
        <v>3.24715</v>
      </c>
      <c r="AQ18" s="122" t="s">
        <v>33</v>
      </c>
      <c r="AR18" s="232">
        <f>AR19</f>
        <v>1</v>
      </c>
      <c r="AS18" s="183">
        <f>AS40</f>
        <v>2</v>
      </c>
      <c r="AT18" s="183" t="str">
        <f>AT19</f>
        <v>IV</v>
      </c>
      <c r="AU18" s="122">
        <f>AU19</f>
        <v>0.66</v>
      </c>
      <c r="AV18" s="122" t="s">
        <v>33</v>
      </c>
      <c r="AW18" s="122">
        <f>AW19</f>
        <v>2.0659999999999998</v>
      </c>
      <c r="AX18" s="122" t="str">
        <f t="shared" ref="AX18:AY18" si="3">AX19</f>
        <v>нд</v>
      </c>
      <c r="AY18" s="319">
        <f t="shared" si="3"/>
        <v>201</v>
      </c>
      <c r="AZ18" s="232">
        <f>AZ40</f>
        <v>1</v>
      </c>
      <c r="BA18" s="183" t="str">
        <f>BA19</f>
        <v>IV</v>
      </c>
      <c r="BB18" s="122">
        <f>BB19</f>
        <v>0.66</v>
      </c>
      <c r="BC18" s="122" t="s">
        <v>33</v>
      </c>
      <c r="BD18" s="122">
        <f>BD19</f>
        <v>2.0659999999999998</v>
      </c>
      <c r="BE18" s="122" t="str">
        <f t="shared" ref="BE18:BF18" si="4">BE19</f>
        <v>нд</v>
      </c>
      <c r="BF18" s="319">
        <f t="shared" si="4"/>
        <v>201</v>
      </c>
      <c r="BG18" s="232">
        <f>BG40</f>
        <v>1</v>
      </c>
      <c r="BH18" s="183" t="str">
        <f>BH19</f>
        <v>IV</v>
      </c>
      <c r="BI18" s="122" t="s">
        <v>33</v>
      </c>
      <c r="BJ18" s="122" t="s">
        <v>33</v>
      </c>
      <c r="BK18" s="122" t="s">
        <v>33</v>
      </c>
      <c r="BL18" s="122" t="s">
        <v>33</v>
      </c>
      <c r="BM18" s="232">
        <f>BM19</f>
        <v>213</v>
      </c>
      <c r="BN18" s="122" t="s">
        <v>33</v>
      </c>
      <c r="BO18" s="183" t="str">
        <f>BO19</f>
        <v>IV</v>
      </c>
      <c r="BP18" s="122" t="s">
        <v>33</v>
      </c>
      <c r="BQ18" s="122" t="s">
        <v>33</v>
      </c>
      <c r="BR18" s="122" t="s">
        <v>33</v>
      </c>
      <c r="BS18" s="122" t="s">
        <v>33</v>
      </c>
      <c r="BT18" s="232">
        <f>BT19</f>
        <v>213</v>
      </c>
      <c r="BU18" s="122" t="s">
        <v>33</v>
      </c>
      <c r="BV18" s="122" t="s">
        <v>33</v>
      </c>
    </row>
    <row r="19" spans="1:74" s="120" customFormat="1" ht="31.5" x14ac:dyDescent="0.25">
      <c r="A19" s="118" t="s">
        <v>36</v>
      </c>
      <c r="B19" s="38" t="s">
        <v>37</v>
      </c>
      <c r="C19" s="119" t="str">
        <f>C20</f>
        <v>нд</v>
      </c>
      <c r="D19" s="119" t="str">
        <f>D32</f>
        <v>IV</v>
      </c>
      <c r="E19" s="119" t="s">
        <v>33</v>
      </c>
      <c r="F19" s="119" t="s">
        <v>33</v>
      </c>
      <c r="G19" s="119" t="s">
        <v>33</v>
      </c>
      <c r="H19" s="119" t="s">
        <v>33</v>
      </c>
      <c r="I19" s="318">
        <f>I32</f>
        <v>347</v>
      </c>
      <c r="J19" s="119" t="s">
        <v>33</v>
      </c>
      <c r="K19" s="119" t="str">
        <f>K32</f>
        <v>IV</v>
      </c>
      <c r="L19" s="119" t="s">
        <v>33</v>
      </c>
      <c r="M19" s="119" t="s">
        <v>33</v>
      </c>
      <c r="N19" s="119" t="s">
        <v>33</v>
      </c>
      <c r="O19" s="119" t="s">
        <v>33</v>
      </c>
      <c r="P19" s="318">
        <f>P32</f>
        <v>347</v>
      </c>
      <c r="Q19" s="119" t="s">
        <v>33</v>
      </c>
      <c r="R19" s="119" t="str">
        <f>R25</f>
        <v>IV</v>
      </c>
      <c r="S19" s="119">
        <f>S25</f>
        <v>0.25</v>
      </c>
      <c r="T19" s="119" t="s">
        <v>33</v>
      </c>
      <c r="U19" s="119">
        <f>U25</f>
        <v>3.95</v>
      </c>
      <c r="V19" s="119" t="str">
        <f>V25</f>
        <v>нд</v>
      </c>
      <c r="W19" s="182">
        <f>W32</f>
        <v>287</v>
      </c>
      <c r="X19" s="119" t="s">
        <v>33</v>
      </c>
      <c r="Y19" s="119" t="str">
        <f>Y20</f>
        <v>IV</v>
      </c>
      <c r="Z19" s="119">
        <f>Z25</f>
        <v>0.25</v>
      </c>
      <c r="AA19" s="119" t="s">
        <v>33</v>
      </c>
      <c r="AB19" s="119">
        <f>AB25</f>
        <v>3.3</v>
      </c>
      <c r="AC19" s="119" t="s">
        <v>33</v>
      </c>
      <c r="AD19" s="119" t="s">
        <v>33</v>
      </c>
      <c r="AE19" s="119" t="s">
        <v>33</v>
      </c>
      <c r="AF19" s="119" t="str">
        <f>AF20</f>
        <v>нд</v>
      </c>
      <c r="AG19" s="119" t="s">
        <v>33</v>
      </c>
      <c r="AH19" s="119" t="s">
        <v>33</v>
      </c>
      <c r="AI19" s="119">
        <f>AI25</f>
        <v>1.5669999999999999</v>
      </c>
      <c r="AJ19" s="119" t="s">
        <v>33</v>
      </c>
      <c r="AK19" s="231">
        <f>AK32</f>
        <v>171</v>
      </c>
      <c r="AL19" s="231" t="s">
        <v>33</v>
      </c>
      <c r="AM19" s="119" t="str">
        <f>AM20</f>
        <v>нд</v>
      </c>
      <c r="AN19" s="231" t="s">
        <v>33</v>
      </c>
      <c r="AO19" s="231" t="s">
        <v>33</v>
      </c>
      <c r="AP19" s="119">
        <f>AP25</f>
        <v>3.24715</v>
      </c>
      <c r="AQ19" s="231" t="s">
        <v>33</v>
      </c>
      <c r="AR19" s="231">
        <f>AR32</f>
        <v>1</v>
      </c>
      <c r="AS19" s="231" t="s">
        <v>33</v>
      </c>
      <c r="AT19" s="119" t="str">
        <f>AT20</f>
        <v>IV</v>
      </c>
      <c r="AU19" s="119">
        <f>AU25+AU20</f>
        <v>0.66</v>
      </c>
      <c r="AV19" s="231" t="s">
        <v>33</v>
      </c>
      <c r="AW19" s="119">
        <f>AW25</f>
        <v>2.0659999999999998</v>
      </c>
      <c r="AX19" s="119" t="str">
        <f>AX25</f>
        <v>нд</v>
      </c>
      <c r="AY19" s="231">
        <f>AY32</f>
        <v>201</v>
      </c>
      <c r="AZ19" s="231" t="s">
        <v>33</v>
      </c>
      <c r="BA19" s="119" t="str">
        <f>BA20</f>
        <v>IV</v>
      </c>
      <c r="BB19" s="119">
        <f>BB25+BB20</f>
        <v>0.66</v>
      </c>
      <c r="BC19" s="231" t="s">
        <v>33</v>
      </c>
      <c r="BD19" s="119">
        <f>BD25</f>
        <v>2.0659999999999998</v>
      </c>
      <c r="BE19" s="119" t="str">
        <f>BE25</f>
        <v>нд</v>
      </c>
      <c r="BF19" s="231">
        <f>BF32</f>
        <v>201</v>
      </c>
      <c r="BG19" s="231" t="s">
        <v>33</v>
      </c>
      <c r="BH19" s="119" t="str">
        <f>BH20</f>
        <v>IV</v>
      </c>
      <c r="BI19" s="231" t="s">
        <v>33</v>
      </c>
      <c r="BJ19" s="231" t="s">
        <v>33</v>
      </c>
      <c r="BK19" s="231" t="s">
        <v>33</v>
      </c>
      <c r="BL19" s="231" t="s">
        <v>33</v>
      </c>
      <c r="BM19" s="231">
        <f>BM32</f>
        <v>213</v>
      </c>
      <c r="BN19" s="119" t="s">
        <v>33</v>
      </c>
      <c r="BO19" s="119" t="str">
        <f>BO20</f>
        <v>IV</v>
      </c>
      <c r="BP19" s="119" t="s">
        <v>33</v>
      </c>
      <c r="BQ19" s="119" t="s">
        <v>33</v>
      </c>
      <c r="BR19" s="119" t="s">
        <v>33</v>
      </c>
      <c r="BS19" s="119" t="s">
        <v>33</v>
      </c>
      <c r="BT19" s="231">
        <f>BT32</f>
        <v>213</v>
      </c>
      <c r="BU19" s="119" t="s">
        <v>33</v>
      </c>
      <c r="BV19" s="119" t="s">
        <v>33</v>
      </c>
    </row>
    <row r="20" spans="1:74" s="126" customFormat="1" ht="47.25" x14ac:dyDescent="0.25">
      <c r="A20" s="124" t="s">
        <v>53</v>
      </c>
      <c r="B20" s="39" t="s">
        <v>54</v>
      </c>
      <c r="C20" s="125" t="str">
        <f>C21</f>
        <v>нд</v>
      </c>
      <c r="D20" s="125" t="str">
        <f t="shared" ref="D20:S21" si="5">D21</f>
        <v>нд</v>
      </c>
      <c r="E20" s="125" t="str">
        <f>E21</f>
        <v>нд</v>
      </c>
      <c r="F20" s="125" t="str">
        <f t="shared" ref="F20:BQ21" si="6">F21</f>
        <v>нд</v>
      </c>
      <c r="G20" s="125" t="str">
        <f t="shared" si="6"/>
        <v>нд</v>
      </c>
      <c r="H20" s="125" t="str">
        <f t="shared" si="6"/>
        <v>нд</v>
      </c>
      <c r="I20" s="125" t="str">
        <f t="shared" si="6"/>
        <v>нд</v>
      </c>
      <c r="J20" s="125" t="str">
        <f t="shared" si="6"/>
        <v>нд</v>
      </c>
      <c r="K20" s="125" t="str">
        <f t="shared" si="6"/>
        <v>нд</v>
      </c>
      <c r="L20" s="125" t="str">
        <f t="shared" si="6"/>
        <v>нд</v>
      </c>
      <c r="M20" s="125" t="str">
        <f t="shared" si="6"/>
        <v>нд</v>
      </c>
      <c r="N20" s="125" t="str">
        <f t="shared" si="6"/>
        <v>нд</v>
      </c>
      <c r="O20" s="125" t="str">
        <f t="shared" si="6"/>
        <v>нд</v>
      </c>
      <c r="P20" s="125" t="str">
        <f t="shared" si="6"/>
        <v>нд</v>
      </c>
      <c r="Q20" s="125" t="str">
        <f t="shared" si="6"/>
        <v>нд</v>
      </c>
      <c r="R20" s="125" t="str">
        <f t="shared" si="6"/>
        <v>нд</v>
      </c>
      <c r="S20" s="125" t="str">
        <f t="shared" si="6"/>
        <v>нд</v>
      </c>
      <c r="T20" s="125" t="str">
        <f t="shared" si="6"/>
        <v>нд</v>
      </c>
      <c r="U20" s="125" t="str">
        <f t="shared" si="6"/>
        <v>нд</v>
      </c>
      <c r="V20" s="125" t="str">
        <f t="shared" si="6"/>
        <v>нд</v>
      </c>
      <c r="W20" s="180" t="str">
        <f t="shared" si="6"/>
        <v>нд</v>
      </c>
      <c r="X20" s="125" t="str">
        <f t="shared" si="6"/>
        <v>нд</v>
      </c>
      <c r="Y20" s="125" t="str">
        <f t="shared" si="6"/>
        <v>IV</v>
      </c>
      <c r="Z20" s="125" t="str">
        <f t="shared" si="6"/>
        <v>нд</v>
      </c>
      <c r="AA20" s="125" t="str">
        <f t="shared" si="6"/>
        <v>нд</v>
      </c>
      <c r="AB20" s="125" t="str">
        <f t="shared" si="6"/>
        <v>нд</v>
      </c>
      <c r="AC20" s="125" t="str">
        <f t="shared" si="6"/>
        <v>нд</v>
      </c>
      <c r="AD20" s="125" t="str">
        <f t="shared" si="6"/>
        <v>нд</v>
      </c>
      <c r="AE20" s="125" t="str">
        <f t="shared" si="6"/>
        <v>нд</v>
      </c>
      <c r="AF20" s="125" t="str">
        <f t="shared" si="6"/>
        <v>нд</v>
      </c>
      <c r="AG20" s="125" t="str">
        <f t="shared" si="6"/>
        <v>нд</v>
      </c>
      <c r="AH20" s="125" t="str">
        <f t="shared" si="6"/>
        <v>нд</v>
      </c>
      <c r="AI20" s="125" t="str">
        <f t="shared" si="6"/>
        <v>нд</v>
      </c>
      <c r="AJ20" s="125" t="str">
        <f t="shared" si="6"/>
        <v>нд</v>
      </c>
      <c r="AK20" s="185" t="str">
        <f t="shared" si="6"/>
        <v>нд</v>
      </c>
      <c r="AL20" s="185" t="str">
        <f t="shared" si="6"/>
        <v>нд</v>
      </c>
      <c r="AM20" s="125" t="str">
        <f t="shared" si="6"/>
        <v>нд</v>
      </c>
      <c r="AN20" s="125" t="str">
        <f t="shared" si="6"/>
        <v>нд</v>
      </c>
      <c r="AO20" s="125" t="str">
        <f t="shared" si="6"/>
        <v>нд</v>
      </c>
      <c r="AP20" s="125" t="str">
        <f t="shared" si="6"/>
        <v>нд</v>
      </c>
      <c r="AQ20" s="125" t="str">
        <f t="shared" si="6"/>
        <v>нд</v>
      </c>
      <c r="AR20" s="125" t="str">
        <f t="shared" si="6"/>
        <v>нд</v>
      </c>
      <c r="AS20" s="125" t="str">
        <f t="shared" si="6"/>
        <v>нд</v>
      </c>
      <c r="AT20" s="125" t="str">
        <f t="shared" si="6"/>
        <v>IV</v>
      </c>
      <c r="AU20" s="125">
        <f t="shared" si="6"/>
        <v>0.5</v>
      </c>
      <c r="AV20" s="125" t="str">
        <f t="shared" si="6"/>
        <v>нд</v>
      </c>
      <c r="AW20" s="125" t="str">
        <f t="shared" si="6"/>
        <v>нд</v>
      </c>
      <c r="AX20" s="125" t="str">
        <f t="shared" si="6"/>
        <v>нд</v>
      </c>
      <c r="AY20" s="185" t="str">
        <f t="shared" si="6"/>
        <v>нд</v>
      </c>
      <c r="AZ20" s="185" t="str">
        <f t="shared" si="6"/>
        <v>нд</v>
      </c>
      <c r="BA20" s="125" t="str">
        <f t="shared" si="6"/>
        <v>IV</v>
      </c>
      <c r="BB20" s="125">
        <f t="shared" si="6"/>
        <v>0.5</v>
      </c>
      <c r="BC20" s="125" t="str">
        <f t="shared" si="6"/>
        <v>нд</v>
      </c>
      <c r="BD20" s="125" t="str">
        <f t="shared" si="6"/>
        <v>нд</v>
      </c>
      <c r="BE20" s="125" t="str">
        <f t="shared" si="6"/>
        <v>нд</v>
      </c>
      <c r="BF20" s="185" t="str">
        <f t="shared" si="6"/>
        <v>нд</v>
      </c>
      <c r="BG20" s="125" t="str">
        <f t="shared" si="6"/>
        <v>нд</v>
      </c>
      <c r="BH20" s="125" t="str">
        <f t="shared" si="6"/>
        <v>IV</v>
      </c>
      <c r="BI20" s="125" t="str">
        <f t="shared" si="6"/>
        <v>нд</v>
      </c>
      <c r="BJ20" s="125" t="str">
        <f t="shared" si="6"/>
        <v>нд</v>
      </c>
      <c r="BK20" s="125" t="str">
        <f t="shared" si="6"/>
        <v>нд</v>
      </c>
      <c r="BL20" s="125" t="str">
        <f t="shared" si="6"/>
        <v>нд</v>
      </c>
      <c r="BM20" s="185" t="str">
        <f t="shared" si="6"/>
        <v>нд</v>
      </c>
      <c r="BN20" s="125" t="str">
        <f t="shared" si="6"/>
        <v>нд</v>
      </c>
      <c r="BO20" s="125" t="str">
        <f t="shared" si="6"/>
        <v>IV</v>
      </c>
      <c r="BP20" s="125" t="str">
        <f t="shared" si="6"/>
        <v>нд</v>
      </c>
      <c r="BQ20" s="125" t="str">
        <f t="shared" si="6"/>
        <v>нд</v>
      </c>
      <c r="BR20" s="125" t="str">
        <f t="shared" ref="BR20:BV20" si="7">BR21</f>
        <v>нд</v>
      </c>
      <c r="BS20" s="125" t="str">
        <f t="shared" si="7"/>
        <v>нд</v>
      </c>
      <c r="BT20" s="125" t="str">
        <f t="shared" si="7"/>
        <v>нд</v>
      </c>
      <c r="BU20" s="125" t="str">
        <f t="shared" si="7"/>
        <v>нд</v>
      </c>
      <c r="BV20" s="125" t="str">
        <f t="shared" si="7"/>
        <v>нд</v>
      </c>
    </row>
    <row r="21" spans="1:74" s="129" customFormat="1" ht="21" customHeight="1" x14ac:dyDescent="0.25">
      <c r="A21" s="127" t="s">
        <v>38</v>
      </c>
      <c r="B21" s="10" t="s">
        <v>39</v>
      </c>
      <c r="C21" s="317" t="s">
        <v>33</v>
      </c>
      <c r="D21" s="128" t="str">
        <f t="shared" si="5"/>
        <v>нд</v>
      </c>
      <c r="E21" s="128" t="str">
        <f t="shared" si="5"/>
        <v>нд</v>
      </c>
      <c r="F21" s="128" t="str">
        <f t="shared" si="5"/>
        <v>нд</v>
      </c>
      <c r="G21" s="128" t="str">
        <f t="shared" si="5"/>
        <v>нд</v>
      </c>
      <c r="H21" s="128" t="str">
        <f t="shared" si="5"/>
        <v>нд</v>
      </c>
      <c r="I21" s="128" t="str">
        <f t="shared" si="5"/>
        <v>нд</v>
      </c>
      <c r="J21" s="128" t="str">
        <f t="shared" si="5"/>
        <v>нд</v>
      </c>
      <c r="K21" s="128" t="str">
        <f t="shared" si="5"/>
        <v>нд</v>
      </c>
      <c r="L21" s="128" t="str">
        <f t="shared" si="5"/>
        <v>нд</v>
      </c>
      <c r="M21" s="128" t="str">
        <f t="shared" si="5"/>
        <v>нд</v>
      </c>
      <c r="N21" s="128" t="str">
        <f t="shared" si="5"/>
        <v>нд</v>
      </c>
      <c r="O21" s="128" t="str">
        <f t="shared" si="5"/>
        <v>нд</v>
      </c>
      <c r="P21" s="128" t="str">
        <f t="shared" si="5"/>
        <v>нд</v>
      </c>
      <c r="Q21" s="128" t="str">
        <f t="shared" si="5"/>
        <v>нд</v>
      </c>
      <c r="R21" s="128" t="str">
        <f t="shared" si="5"/>
        <v>нд</v>
      </c>
      <c r="S21" s="128" t="str">
        <f t="shared" si="5"/>
        <v>нд</v>
      </c>
      <c r="T21" s="128" t="str">
        <f t="shared" si="6"/>
        <v>нд</v>
      </c>
      <c r="U21" s="128" t="str">
        <f t="shared" si="6"/>
        <v>нд</v>
      </c>
      <c r="V21" s="128" t="str">
        <f t="shared" si="6"/>
        <v>нд</v>
      </c>
      <c r="W21" s="128" t="str">
        <f t="shared" si="6"/>
        <v>нд</v>
      </c>
      <c r="X21" s="128" t="str">
        <f t="shared" si="6"/>
        <v>нд</v>
      </c>
      <c r="Y21" s="128" t="str">
        <f t="shared" si="6"/>
        <v>IV</v>
      </c>
      <c r="Z21" s="128" t="str">
        <f t="shared" si="6"/>
        <v>нд</v>
      </c>
      <c r="AA21" s="128" t="str">
        <f t="shared" si="6"/>
        <v>нд</v>
      </c>
      <c r="AB21" s="128" t="str">
        <f t="shared" si="6"/>
        <v>нд</v>
      </c>
      <c r="AC21" s="128" t="str">
        <f t="shared" si="6"/>
        <v>нд</v>
      </c>
      <c r="AD21" s="128" t="str">
        <f t="shared" si="6"/>
        <v>нд</v>
      </c>
      <c r="AE21" s="128" t="str">
        <f t="shared" si="6"/>
        <v>нд</v>
      </c>
      <c r="AF21" s="128" t="str">
        <f t="shared" si="6"/>
        <v>нд</v>
      </c>
      <c r="AG21" s="128" t="str">
        <f t="shared" si="6"/>
        <v>нд</v>
      </c>
      <c r="AH21" s="128" t="str">
        <f t="shared" si="6"/>
        <v>нд</v>
      </c>
      <c r="AI21" s="128" t="str">
        <f t="shared" si="6"/>
        <v>нд</v>
      </c>
      <c r="AJ21" s="128" t="str">
        <f t="shared" si="6"/>
        <v>нд</v>
      </c>
      <c r="AK21" s="128" t="str">
        <f t="shared" si="6"/>
        <v>нд</v>
      </c>
      <c r="AL21" s="128" t="str">
        <f t="shared" si="6"/>
        <v>нд</v>
      </c>
      <c r="AM21" s="128" t="str">
        <f t="shared" si="6"/>
        <v>нд</v>
      </c>
      <c r="AN21" s="128" t="str">
        <f t="shared" si="6"/>
        <v>нд</v>
      </c>
      <c r="AO21" s="128" t="str">
        <f t="shared" si="6"/>
        <v>нд</v>
      </c>
      <c r="AP21" s="128" t="str">
        <f t="shared" si="6"/>
        <v>нд</v>
      </c>
      <c r="AQ21" s="128" t="str">
        <f t="shared" si="6"/>
        <v>нд</v>
      </c>
      <c r="AR21" s="128" t="str">
        <f t="shared" si="6"/>
        <v>нд</v>
      </c>
      <c r="AS21" s="128" t="str">
        <f t="shared" si="6"/>
        <v>нд</v>
      </c>
      <c r="AT21" s="128" t="str">
        <f>AT23</f>
        <v>IV</v>
      </c>
      <c r="AU21" s="128">
        <f>AU23</f>
        <v>0.5</v>
      </c>
      <c r="AV21" s="128" t="str">
        <f t="shared" si="6"/>
        <v>нд</v>
      </c>
      <c r="AW21" s="128" t="str">
        <f t="shared" si="6"/>
        <v>нд</v>
      </c>
      <c r="AX21" s="331" t="s">
        <v>33</v>
      </c>
      <c r="AY21" s="331" t="s">
        <v>33</v>
      </c>
      <c r="AZ21" s="331" t="s">
        <v>33</v>
      </c>
      <c r="BA21" s="128" t="str">
        <f>BA23</f>
        <v>IV</v>
      </c>
      <c r="BB21" s="128">
        <f>BB23</f>
        <v>0.5</v>
      </c>
      <c r="BC21" s="128" t="str">
        <f t="shared" si="6"/>
        <v>нд</v>
      </c>
      <c r="BD21" s="128" t="str">
        <f t="shared" si="6"/>
        <v>нд</v>
      </c>
      <c r="BE21" s="331" t="s">
        <v>33</v>
      </c>
      <c r="BF21" s="331" t="s">
        <v>33</v>
      </c>
      <c r="BG21" s="331" t="s">
        <v>33</v>
      </c>
      <c r="BH21" s="331" t="str">
        <f>BH24</f>
        <v>IV</v>
      </c>
      <c r="BI21" s="128" t="str">
        <f>BI23</f>
        <v>нд</v>
      </c>
      <c r="BJ21" s="331" t="s">
        <v>33</v>
      </c>
      <c r="BK21" s="331" t="s">
        <v>33</v>
      </c>
      <c r="BL21" s="331" t="s">
        <v>33</v>
      </c>
      <c r="BM21" s="331" t="s">
        <v>33</v>
      </c>
      <c r="BN21" s="331" t="s">
        <v>33</v>
      </c>
      <c r="BO21" s="331" t="str">
        <f>BO24</f>
        <v>IV</v>
      </c>
      <c r="BP21" s="331" t="s">
        <v>33</v>
      </c>
      <c r="BQ21" s="331" t="s">
        <v>33</v>
      </c>
      <c r="BR21" s="331" t="s">
        <v>33</v>
      </c>
      <c r="BS21" s="331" t="s">
        <v>33</v>
      </c>
      <c r="BT21" s="331" t="s">
        <v>33</v>
      </c>
      <c r="BU21" s="331" t="s">
        <v>33</v>
      </c>
      <c r="BV21" s="331" t="s">
        <v>33</v>
      </c>
    </row>
    <row r="22" spans="1:74" s="191" customFormat="1" ht="30" x14ac:dyDescent="0.25">
      <c r="A22" s="13" t="s">
        <v>40</v>
      </c>
      <c r="B22" s="375" t="s">
        <v>1330</v>
      </c>
      <c r="C22" s="410" t="s">
        <v>1348</v>
      </c>
      <c r="D22" s="529" t="s">
        <v>33</v>
      </c>
      <c r="E22" s="529" t="s">
        <v>33</v>
      </c>
      <c r="F22" s="529" t="s">
        <v>33</v>
      </c>
      <c r="G22" s="529" t="s">
        <v>33</v>
      </c>
      <c r="H22" s="529" t="s">
        <v>33</v>
      </c>
      <c r="I22" s="529" t="s">
        <v>33</v>
      </c>
      <c r="J22" s="529" t="s">
        <v>33</v>
      </c>
      <c r="K22" s="529" t="s">
        <v>33</v>
      </c>
      <c r="L22" s="529" t="s">
        <v>33</v>
      </c>
      <c r="M22" s="529" t="s">
        <v>33</v>
      </c>
      <c r="N22" s="529" t="s">
        <v>33</v>
      </c>
      <c r="O22" s="529" t="s">
        <v>33</v>
      </c>
      <c r="P22" s="529" t="s">
        <v>33</v>
      </c>
      <c r="Q22" s="529" t="s">
        <v>33</v>
      </c>
      <c r="R22" s="533" t="s">
        <v>33</v>
      </c>
      <c r="S22" s="535" t="str">
        <f>'Ф5 2023'!AA22</f>
        <v>нд</v>
      </c>
      <c r="T22" s="535" t="str">
        <f>'Ф5 2023'!AB22</f>
        <v>нд</v>
      </c>
      <c r="U22" s="535" t="str">
        <f>Ф4!AN22</f>
        <v>нд</v>
      </c>
      <c r="V22" s="535" t="str">
        <f>'Ф5 2023'!AD22</f>
        <v>нд</v>
      </c>
      <c r="W22" s="536" t="str">
        <f>'Ф5 2023'!AE22</f>
        <v>нд</v>
      </c>
      <c r="X22" s="535" t="str">
        <f>'Ф5 2023'!AF22</f>
        <v>нд</v>
      </c>
      <c r="Y22" s="533" t="s">
        <v>463</v>
      </c>
      <c r="Z22" s="533" t="s">
        <v>33</v>
      </c>
      <c r="AA22" s="535" t="str">
        <f>'Ф5 2023'!AI22</f>
        <v>нд</v>
      </c>
      <c r="AB22" s="535" t="str">
        <f>Ф4!AV22</f>
        <v>нд</v>
      </c>
      <c r="AC22" s="533" t="s">
        <v>33</v>
      </c>
      <c r="AD22" s="533" t="s">
        <v>33</v>
      </c>
      <c r="AE22" s="535" t="str">
        <f>'Ф5 2023'!AM22</f>
        <v>нд</v>
      </c>
      <c r="AF22" s="529" t="s">
        <v>33</v>
      </c>
      <c r="AG22" s="529" t="s">
        <v>33</v>
      </c>
      <c r="AH22" s="529" t="s">
        <v>33</v>
      </c>
      <c r="AI22" s="529" t="s">
        <v>33</v>
      </c>
      <c r="AJ22" s="529" t="s">
        <v>33</v>
      </c>
      <c r="AK22" s="529" t="s">
        <v>33</v>
      </c>
      <c r="AL22" s="529" t="s">
        <v>33</v>
      </c>
      <c r="AM22" s="529" t="s">
        <v>33</v>
      </c>
      <c r="AN22" s="529" t="s">
        <v>33</v>
      </c>
      <c r="AO22" s="529" t="s">
        <v>33</v>
      </c>
      <c r="AP22" s="529" t="s">
        <v>33</v>
      </c>
      <c r="AQ22" s="529" t="s">
        <v>33</v>
      </c>
      <c r="AR22" s="529" t="s">
        <v>33</v>
      </c>
      <c r="AS22" s="529" t="s">
        <v>33</v>
      </c>
      <c r="AT22" s="529" t="s">
        <v>33</v>
      </c>
      <c r="AU22" s="529" t="s">
        <v>33</v>
      </c>
      <c r="AV22" s="529" t="s">
        <v>33</v>
      </c>
      <c r="AW22" s="529" t="s">
        <v>33</v>
      </c>
      <c r="AX22" s="529" t="s">
        <v>33</v>
      </c>
      <c r="AY22" s="529" t="s">
        <v>33</v>
      </c>
      <c r="AZ22" s="529" t="s">
        <v>33</v>
      </c>
      <c r="BA22" s="529" t="s">
        <v>33</v>
      </c>
      <c r="BB22" s="529" t="s">
        <v>33</v>
      </c>
      <c r="BC22" s="529" t="s">
        <v>33</v>
      </c>
      <c r="BD22" s="529" t="s">
        <v>33</v>
      </c>
      <c r="BE22" s="529" t="s">
        <v>33</v>
      </c>
      <c r="BF22" s="529" t="s">
        <v>33</v>
      </c>
      <c r="BG22" s="529" t="s">
        <v>33</v>
      </c>
      <c r="BH22" s="529" t="s">
        <v>33</v>
      </c>
      <c r="BI22" s="529" t="s">
        <v>33</v>
      </c>
      <c r="BJ22" s="529" t="s">
        <v>33</v>
      </c>
      <c r="BK22" s="529" t="s">
        <v>33</v>
      </c>
      <c r="BL22" s="529" t="s">
        <v>33</v>
      </c>
      <c r="BM22" s="529" t="s">
        <v>33</v>
      </c>
      <c r="BN22" s="529" t="s">
        <v>33</v>
      </c>
      <c r="BO22" s="529" t="s">
        <v>33</v>
      </c>
      <c r="BP22" s="529" t="s">
        <v>33</v>
      </c>
      <c r="BQ22" s="529" t="s">
        <v>33</v>
      </c>
      <c r="BR22" s="529" t="s">
        <v>33</v>
      </c>
      <c r="BS22" s="529" t="s">
        <v>33</v>
      </c>
      <c r="BT22" s="529" t="s">
        <v>33</v>
      </c>
      <c r="BU22" s="529" t="s">
        <v>33</v>
      </c>
      <c r="BV22" s="529" t="s">
        <v>33</v>
      </c>
    </row>
    <row r="23" spans="1:74" s="191" customFormat="1" x14ac:dyDescent="0.25">
      <c r="A23" s="13" t="s">
        <v>465</v>
      </c>
      <c r="B23" s="237" t="s">
        <v>648</v>
      </c>
      <c r="C23" s="410" t="s">
        <v>637</v>
      </c>
      <c r="D23" s="529" t="s">
        <v>33</v>
      </c>
      <c r="E23" s="529" t="s">
        <v>33</v>
      </c>
      <c r="F23" s="529" t="s">
        <v>33</v>
      </c>
      <c r="G23" s="529" t="s">
        <v>33</v>
      </c>
      <c r="H23" s="529" t="s">
        <v>33</v>
      </c>
      <c r="I23" s="529" t="s">
        <v>33</v>
      </c>
      <c r="J23" s="529" t="s">
        <v>33</v>
      </c>
      <c r="K23" s="529" t="s">
        <v>33</v>
      </c>
      <c r="L23" s="529" t="s">
        <v>33</v>
      </c>
      <c r="M23" s="529" t="s">
        <v>33</v>
      </c>
      <c r="N23" s="529" t="s">
        <v>33</v>
      </c>
      <c r="O23" s="529" t="s">
        <v>33</v>
      </c>
      <c r="P23" s="529" t="s">
        <v>33</v>
      </c>
      <c r="Q23" s="529" t="s">
        <v>33</v>
      </c>
      <c r="R23" s="529" t="s">
        <v>33</v>
      </c>
      <c r="S23" s="529" t="s">
        <v>33</v>
      </c>
      <c r="T23" s="529" t="s">
        <v>33</v>
      </c>
      <c r="U23" s="529" t="s">
        <v>33</v>
      </c>
      <c r="V23" s="529" t="s">
        <v>33</v>
      </c>
      <c r="W23" s="529" t="s">
        <v>33</v>
      </c>
      <c r="X23" s="529" t="s">
        <v>33</v>
      </c>
      <c r="Y23" s="529" t="s">
        <v>33</v>
      </c>
      <c r="Z23" s="529" t="s">
        <v>33</v>
      </c>
      <c r="AA23" s="529" t="s">
        <v>33</v>
      </c>
      <c r="AB23" s="529" t="s">
        <v>33</v>
      </c>
      <c r="AC23" s="529" t="s">
        <v>33</v>
      </c>
      <c r="AD23" s="529" t="s">
        <v>33</v>
      </c>
      <c r="AE23" s="529" t="s">
        <v>33</v>
      </c>
      <c r="AF23" s="529" t="s">
        <v>33</v>
      </c>
      <c r="AG23" s="529" t="s">
        <v>33</v>
      </c>
      <c r="AH23" s="529" t="s">
        <v>33</v>
      </c>
      <c r="AI23" s="529" t="s">
        <v>33</v>
      </c>
      <c r="AJ23" s="529" t="s">
        <v>33</v>
      </c>
      <c r="AK23" s="529" t="s">
        <v>33</v>
      </c>
      <c r="AL23" s="529" t="s">
        <v>33</v>
      </c>
      <c r="AM23" s="529" t="s">
        <v>33</v>
      </c>
      <c r="AN23" s="529" t="s">
        <v>33</v>
      </c>
      <c r="AO23" s="529" t="s">
        <v>33</v>
      </c>
      <c r="AP23" s="529" t="s">
        <v>33</v>
      </c>
      <c r="AQ23" s="529" t="s">
        <v>33</v>
      </c>
      <c r="AR23" s="529" t="s">
        <v>33</v>
      </c>
      <c r="AS23" s="529" t="s">
        <v>33</v>
      </c>
      <c r="AT23" s="546" t="s">
        <v>463</v>
      </c>
      <c r="AU23" s="535">
        <f>'Ф5 2025'!AA23</f>
        <v>0.5</v>
      </c>
      <c r="AV23" s="546" t="str">
        <f>'Ф5 2025'!AB23</f>
        <v>нд</v>
      </c>
      <c r="AW23" s="546" t="str">
        <f>'Ф5 2025'!AC23</f>
        <v>нд</v>
      </c>
      <c r="AX23" s="546" t="str">
        <f>'Ф5 2025'!AD23</f>
        <v>нд</v>
      </c>
      <c r="AY23" s="546" t="s">
        <v>33</v>
      </c>
      <c r="AZ23" s="546" t="s">
        <v>33</v>
      </c>
      <c r="BA23" s="546" t="str">
        <f>AT23</f>
        <v>IV</v>
      </c>
      <c r="BB23" s="535">
        <f>Ф4!BZ21</f>
        <v>0.5</v>
      </c>
      <c r="BC23" s="546" t="s">
        <v>33</v>
      </c>
      <c r="BD23" s="546" t="s">
        <v>33</v>
      </c>
      <c r="BE23" s="546" t="s">
        <v>33</v>
      </c>
      <c r="BF23" s="546" t="s">
        <v>33</v>
      </c>
      <c r="BG23" s="546" t="s">
        <v>33</v>
      </c>
      <c r="BH23" s="529" t="s">
        <v>33</v>
      </c>
      <c r="BI23" s="529" t="s">
        <v>33</v>
      </c>
      <c r="BJ23" s="529" t="s">
        <v>33</v>
      </c>
      <c r="BK23" s="529" t="s">
        <v>33</v>
      </c>
      <c r="BL23" s="529" t="s">
        <v>33</v>
      </c>
      <c r="BM23" s="529" t="s">
        <v>33</v>
      </c>
      <c r="BN23" s="529" t="s">
        <v>33</v>
      </c>
      <c r="BO23" s="529" t="s">
        <v>33</v>
      </c>
      <c r="BP23" s="529" t="s">
        <v>33</v>
      </c>
      <c r="BQ23" s="529" t="s">
        <v>33</v>
      </c>
      <c r="BR23" s="529" t="s">
        <v>33</v>
      </c>
      <c r="BS23" s="529" t="s">
        <v>33</v>
      </c>
      <c r="BT23" s="529" t="s">
        <v>33</v>
      </c>
      <c r="BU23" s="529" t="s">
        <v>33</v>
      </c>
      <c r="BV23" s="529" t="s">
        <v>33</v>
      </c>
    </row>
    <row r="24" spans="1:74" s="191" customFormat="1" x14ac:dyDescent="0.25">
      <c r="A24" s="13" t="s">
        <v>615</v>
      </c>
      <c r="B24" s="237" t="s">
        <v>649</v>
      </c>
      <c r="C24" s="410" t="s">
        <v>638</v>
      </c>
      <c r="D24" s="529" t="s">
        <v>33</v>
      </c>
      <c r="E24" s="529" t="s">
        <v>33</v>
      </c>
      <c r="F24" s="529" t="s">
        <v>33</v>
      </c>
      <c r="G24" s="529" t="s">
        <v>33</v>
      </c>
      <c r="H24" s="529" t="s">
        <v>33</v>
      </c>
      <c r="I24" s="529" t="s">
        <v>33</v>
      </c>
      <c r="J24" s="529" t="s">
        <v>33</v>
      </c>
      <c r="K24" s="529" t="s">
        <v>33</v>
      </c>
      <c r="L24" s="529" t="s">
        <v>33</v>
      </c>
      <c r="M24" s="529" t="s">
        <v>33</v>
      </c>
      <c r="N24" s="529" t="s">
        <v>33</v>
      </c>
      <c r="O24" s="529" t="s">
        <v>33</v>
      </c>
      <c r="P24" s="529" t="s">
        <v>33</v>
      </c>
      <c r="Q24" s="529" t="s">
        <v>33</v>
      </c>
      <c r="R24" s="529" t="s">
        <v>33</v>
      </c>
      <c r="S24" s="529" t="s">
        <v>33</v>
      </c>
      <c r="T24" s="529" t="s">
        <v>33</v>
      </c>
      <c r="U24" s="529" t="s">
        <v>33</v>
      </c>
      <c r="V24" s="529" t="s">
        <v>33</v>
      </c>
      <c r="W24" s="529" t="s">
        <v>33</v>
      </c>
      <c r="X24" s="529" t="s">
        <v>33</v>
      </c>
      <c r="Y24" s="529" t="s">
        <v>33</v>
      </c>
      <c r="Z24" s="529" t="s">
        <v>33</v>
      </c>
      <c r="AA24" s="529" t="s">
        <v>33</v>
      </c>
      <c r="AB24" s="529" t="s">
        <v>33</v>
      </c>
      <c r="AC24" s="529" t="s">
        <v>33</v>
      </c>
      <c r="AD24" s="529" t="s">
        <v>33</v>
      </c>
      <c r="AE24" s="529" t="s">
        <v>33</v>
      </c>
      <c r="AF24" s="529" t="s">
        <v>33</v>
      </c>
      <c r="AG24" s="529" t="s">
        <v>33</v>
      </c>
      <c r="AH24" s="529" t="s">
        <v>33</v>
      </c>
      <c r="AI24" s="529" t="s">
        <v>33</v>
      </c>
      <c r="AJ24" s="529" t="s">
        <v>33</v>
      </c>
      <c r="AK24" s="529" t="s">
        <v>33</v>
      </c>
      <c r="AL24" s="529" t="s">
        <v>33</v>
      </c>
      <c r="AM24" s="529" t="s">
        <v>33</v>
      </c>
      <c r="AN24" s="529" t="s">
        <v>33</v>
      </c>
      <c r="AO24" s="529" t="s">
        <v>33</v>
      </c>
      <c r="AP24" s="529" t="s">
        <v>33</v>
      </c>
      <c r="AQ24" s="529" t="s">
        <v>33</v>
      </c>
      <c r="AR24" s="529" t="s">
        <v>33</v>
      </c>
      <c r="AS24" s="529" t="s">
        <v>33</v>
      </c>
      <c r="AT24" s="529" t="s">
        <v>33</v>
      </c>
      <c r="AU24" s="529" t="s">
        <v>33</v>
      </c>
      <c r="AV24" s="529" t="s">
        <v>33</v>
      </c>
      <c r="AW24" s="529" t="s">
        <v>33</v>
      </c>
      <c r="AX24" s="529" t="s">
        <v>33</v>
      </c>
      <c r="AY24" s="529" t="s">
        <v>33</v>
      </c>
      <c r="AZ24" s="529" t="s">
        <v>33</v>
      </c>
      <c r="BA24" s="529" t="s">
        <v>33</v>
      </c>
      <c r="BB24" s="529" t="s">
        <v>33</v>
      </c>
      <c r="BC24" s="529" t="s">
        <v>33</v>
      </c>
      <c r="BD24" s="529" t="s">
        <v>33</v>
      </c>
      <c r="BE24" s="529" t="s">
        <v>33</v>
      </c>
      <c r="BF24" s="529" t="s">
        <v>33</v>
      </c>
      <c r="BG24" s="529" t="s">
        <v>33</v>
      </c>
      <c r="BH24" s="546" t="s">
        <v>463</v>
      </c>
      <c r="BI24" s="546" t="str">
        <f>'Ф5 2026'!AA24</f>
        <v>нд</v>
      </c>
      <c r="BJ24" s="546" t="str">
        <f>'Ф5 2026'!AB24</f>
        <v>нд</v>
      </c>
      <c r="BK24" s="546" t="str">
        <f>'Ф5 2026'!AC24</f>
        <v>нд</v>
      </c>
      <c r="BL24" s="546" t="str">
        <f>'Ф5 2026'!AD24</f>
        <v>нд</v>
      </c>
      <c r="BM24" s="546" t="str">
        <f>'Ф5 2026'!AE24</f>
        <v>нд</v>
      </c>
      <c r="BN24" s="546" t="s">
        <v>33</v>
      </c>
      <c r="BO24" s="546" t="str">
        <f>BH24</f>
        <v>IV</v>
      </c>
      <c r="BP24" s="546" t="s">
        <v>33</v>
      </c>
      <c r="BQ24" s="546" t="s">
        <v>33</v>
      </c>
      <c r="BR24" s="546" t="s">
        <v>33</v>
      </c>
      <c r="BS24" s="546" t="s">
        <v>33</v>
      </c>
      <c r="BT24" s="546" t="s">
        <v>33</v>
      </c>
      <c r="BU24" s="546" t="s">
        <v>33</v>
      </c>
      <c r="BV24" s="529" t="s">
        <v>33</v>
      </c>
    </row>
    <row r="25" spans="1:74" s="126" customFormat="1" ht="31.5" x14ac:dyDescent="0.25">
      <c r="A25" s="124" t="s">
        <v>41</v>
      </c>
      <c r="B25" s="39" t="s">
        <v>42</v>
      </c>
      <c r="C25" s="125" t="str">
        <f>C26</f>
        <v>нд</v>
      </c>
      <c r="D25" s="125" t="str">
        <f>D26</f>
        <v>нд</v>
      </c>
      <c r="E25" s="125" t="str">
        <f t="shared" ref="E25:Q25" si="8">E26</f>
        <v>нд</v>
      </c>
      <c r="F25" s="125" t="str">
        <f t="shared" si="8"/>
        <v>нд</v>
      </c>
      <c r="G25" s="125" t="str">
        <f t="shared" si="8"/>
        <v>нд</v>
      </c>
      <c r="H25" s="125" t="str">
        <f t="shared" si="8"/>
        <v>нд</v>
      </c>
      <c r="I25" s="125" t="str">
        <f t="shared" si="8"/>
        <v>нд</v>
      </c>
      <c r="J25" s="125" t="str">
        <f t="shared" si="8"/>
        <v>нд</v>
      </c>
      <c r="K25" s="125" t="str">
        <f t="shared" si="8"/>
        <v>нд</v>
      </c>
      <c r="L25" s="125" t="str">
        <f t="shared" si="8"/>
        <v>нд</v>
      </c>
      <c r="M25" s="125" t="str">
        <f t="shared" si="8"/>
        <v>нд</v>
      </c>
      <c r="N25" s="125" t="str">
        <f t="shared" si="8"/>
        <v>нд</v>
      </c>
      <c r="O25" s="125" t="str">
        <f t="shared" si="8"/>
        <v>нд</v>
      </c>
      <c r="P25" s="125" t="str">
        <f t="shared" si="8"/>
        <v>нд</v>
      </c>
      <c r="Q25" s="125" t="str">
        <f t="shared" si="8"/>
        <v>нд</v>
      </c>
      <c r="R25" s="125" t="str">
        <f t="shared" ref="R25:BQ25" si="9">R26</f>
        <v>IV</v>
      </c>
      <c r="S25" s="125">
        <f t="shared" si="9"/>
        <v>0.25</v>
      </c>
      <c r="T25" s="125" t="str">
        <f t="shared" si="9"/>
        <v>нд</v>
      </c>
      <c r="U25" s="125">
        <f t="shared" si="9"/>
        <v>3.95</v>
      </c>
      <c r="V25" s="180" t="str">
        <f t="shared" si="9"/>
        <v>нд</v>
      </c>
      <c r="W25" s="180" t="str">
        <f t="shared" si="9"/>
        <v>нд</v>
      </c>
      <c r="X25" s="125" t="str">
        <f t="shared" si="9"/>
        <v>нд</v>
      </c>
      <c r="Y25" s="125" t="str">
        <f t="shared" si="9"/>
        <v>IV</v>
      </c>
      <c r="Z25" s="125">
        <f t="shared" si="9"/>
        <v>0.25</v>
      </c>
      <c r="AA25" s="125" t="str">
        <f t="shared" si="9"/>
        <v>нд</v>
      </c>
      <c r="AB25" s="125">
        <f t="shared" si="9"/>
        <v>3.3</v>
      </c>
      <c r="AC25" s="125" t="str">
        <f t="shared" si="9"/>
        <v>нд</v>
      </c>
      <c r="AD25" s="125" t="str">
        <f t="shared" si="9"/>
        <v>нд</v>
      </c>
      <c r="AE25" s="125" t="str">
        <f t="shared" si="9"/>
        <v>нд</v>
      </c>
      <c r="AF25" s="125" t="str">
        <f t="shared" si="9"/>
        <v>IV</v>
      </c>
      <c r="AG25" s="125" t="str">
        <f t="shared" si="9"/>
        <v>нд</v>
      </c>
      <c r="AH25" s="125" t="str">
        <f t="shared" si="9"/>
        <v>нд</v>
      </c>
      <c r="AI25" s="125">
        <f t="shared" si="9"/>
        <v>1.5669999999999999</v>
      </c>
      <c r="AJ25" s="125" t="str">
        <f t="shared" si="9"/>
        <v>нд</v>
      </c>
      <c r="AK25" s="185" t="str">
        <f t="shared" si="9"/>
        <v>нд</v>
      </c>
      <c r="AL25" s="185" t="str">
        <f t="shared" si="9"/>
        <v>нд</v>
      </c>
      <c r="AM25" s="125" t="str">
        <f t="shared" si="9"/>
        <v>IV</v>
      </c>
      <c r="AN25" s="125" t="str">
        <f t="shared" si="9"/>
        <v>нд</v>
      </c>
      <c r="AO25" s="125" t="str">
        <f t="shared" si="9"/>
        <v>нд</v>
      </c>
      <c r="AP25" s="125">
        <f t="shared" si="9"/>
        <v>3.24715</v>
      </c>
      <c r="AQ25" s="125" t="str">
        <f t="shared" si="9"/>
        <v>нд</v>
      </c>
      <c r="AR25" s="125" t="str">
        <f t="shared" si="9"/>
        <v>нд</v>
      </c>
      <c r="AS25" s="125" t="str">
        <f t="shared" si="9"/>
        <v>нд</v>
      </c>
      <c r="AT25" s="125" t="str">
        <f t="shared" si="9"/>
        <v>IV</v>
      </c>
      <c r="AU25" s="125">
        <f t="shared" si="9"/>
        <v>0.16</v>
      </c>
      <c r="AV25" s="125" t="str">
        <f t="shared" si="9"/>
        <v>нд</v>
      </c>
      <c r="AW25" s="125">
        <f t="shared" si="9"/>
        <v>2.0659999999999998</v>
      </c>
      <c r="AX25" s="185" t="str">
        <f t="shared" si="9"/>
        <v>нд</v>
      </c>
      <c r="AY25" s="185" t="str">
        <f t="shared" si="9"/>
        <v>нд</v>
      </c>
      <c r="AZ25" s="185" t="str">
        <f t="shared" si="9"/>
        <v>нд</v>
      </c>
      <c r="BA25" s="125" t="str">
        <f t="shared" si="9"/>
        <v>IV</v>
      </c>
      <c r="BB25" s="125">
        <f t="shared" si="9"/>
        <v>0.16</v>
      </c>
      <c r="BC25" s="125" t="str">
        <f t="shared" si="9"/>
        <v>нд</v>
      </c>
      <c r="BD25" s="125">
        <f t="shared" si="9"/>
        <v>2.0659999999999998</v>
      </c>
      <c r="BE25" s="125" t="str">
        <f t="shared" si="9"/>
        <v>нд</v>
      </c>
      <c r="BF25" s="125" t="str">
        <f t="shared" si="9"/>
        <v>нд</v>
      </c>
      <c r="BG25" s="125" t="str">
        <f t="shared" si="9"/>
        <v>нд</v>
      </c>
      <c r="BH25" s="125" t="str">
        <f t="shared" si="9"/>
        <v>нд</v>
      </c>
      <c r="BI25" s="125" t="str">
        <f t="shared" si="9"/>
        <v>нд</v>
      </c>
      <c r="BJ25" s="125" t="str">
        <f t="shared" si="9"/>
        <v>нд</v>
      </c>
      <c r="BK25" s="125" t="str">
        <f t="shared" si="9"/>
        <v>нд</v>
      </c>
      <c r="BL25" s="125" t="str">
        <f t="shared" si="9"/>
        <v>нд</v>
      </c>
      <c r="BM25" s="185" t="str">
        <f t="shared" si="9"/>
        <v>нд</v>
      </c>
      <c r="BN25" s="125" t="str">
        <f t="shared" si="9"/>
        <v>нд</v>
      </c>
      <c r="BO25" s="125" t="str">
        <f t="shared" si="9"/>
        <v>нд</v>
      </c>
      <c r="BP25" s="125" t="str">
        <f t="shared" si="9"/>
        <v>нд</v>
      </c>
      <c r="BQ25" s="125" t="str">
        <f t="shared" si="9"/>
        <v>нд</v>
      </c>
      <c r="BR25" s="125" t="str">
        <f t="shared" ref="BR25:BV25" si="10">BR26</f>
        <v>нд</v>
      </c>
      <c r="BS25" s="125" t="str">
        <f t="shared" si="10"/>
        <v>нд</v>
      </c>
      <c r="BT25" s="125" t="str">
        <f t="shared" si="10"/>
        <v>нд</v>
      </c>
      <c r="BU25" s="125" t="str">
        <f t="shared" si="10"/>
        <v>нд</v>
      </c>
      <c r="BV25" s="125" t="str">
        <f t="shared" si="10"/>
        <v>нд</v>
      </c>
    </row>
    <row r="26" spans="1:74" s="129" customFormat="1" x14ac:dyDescent="0.25">
      <c r="A26" s="127" t="s">
        <v>49</v>
      </c>
      <c r="B26" s="10" t="s">
        <v>50</v>
      </c>
      <c r="C26" s="317" t="s">
        <v>33</v>
      </c>
      <c r="D26" s="317" t="s">
        <v>33</v>
      </c>
      <c r="E26" s="317" t="s">
        <v>33</v>
      </c>
      <c r="F26" s="317" t="s">
        <v>33</v>
      </c>
      <c r="G26" s="317" t="s">
        <v>33</v>
      </c>
      <c r="H26" s="317" t="s">
        <v>33</v>
      </c>
      <c r="I26" s="317" t="s">
        <v>33</v>
      </c>
      <c r="J26" s="317" t="s">
        <v>33</v>
      </c>
      <c r="K26" s="317" t="s">
        <v>33</v>
      </c>
      <c r="L26" s="317" t="s">
        <v>33</v>
      </c>
      <c r="M26" s="317" t="s">
        <v>33</v>
      </c>
      <c r="N26" s="317" t="s">
        <v>33</v>
      </c>
      <c r="O26" s="317" t="s">
        <v>33</v>
      </c>
      <c r="P26" s="317" t="s">
        <v>33</v>
      </c>
      <c r="Q26" s="317" t="s">
        <v>33</v>
      </c>
      <c r="R26" s="128" t="str">
        <f>R27</f>
        <v>IV</v>
      </c>
      <c r="S26" s="128">
        <f t="shared" ref="S26" si="11">SUM(S27:S31)</f>
        <v>0.25</v>
      </c>
      <c r="T26" s="317" t="s">
        <v>33</v>
      </c>
      <c r="U26" s="128">
        <f t="shared" ref="U26:AW26" si="12">SUM(U27:U31)</f>
        <v>3.95</v>
      </c>
      <c r="V26" s="327" t="s">
        <v>33</v>
      </c>
      <c r="W26" s="327" t="s">
        <v>33</v>
      </c>
      <c r="X26" s="327" t="s">
        <v>33</v>
      </c>
      <c r="Y26" s="128" t="str">
        <f>Y27</f>
        <v>IV</v>
      </c>
      <c r="Z26" s="128">
        <f t="shared" ref="Z26" si="13">SUM(Z27:Z31)</f>
        <v>0.25</v>
      </c>
      <c r="AA26" s="317" t="str">
        <f>T26</f>
        <v>нд</v>
      </c>
      <c r="AB26" s="128">
        <f t="shared" ref="AB26" si="14">SUM(AB27:AB31)</f>
        <v>3.3</v>
      </c>
      <c r="AC26" s="327" t="s">
        <v>33</v>
      </c>
      <c r="AD26" s="327" t="s">
        <v>33</v>
      </c>
      <c r="AE26" s="327" t="s">
        <v>33</v>
      </c>
      <c r="AF26" s="128" t="str">
        <f>AF28</f>
        <v>IV</v>
      </c>
      <c r="AG26" s="327" t="s">
        <v>33</v>
      </c>
      <c r="AH26" s="327" t="s">
        <v>33</v>
      </c>
      <c r="AI26" s="128">
        <f t="shared" si="12"/>
        <v>1.5669999999999999</v>
      </c>
      <c r="AJ26" s="317" t="s">
        <v>33</v>
      </c>
      <c r="AK26" s="317" t="s">
        <v>33</v>
      </c>
      <c r="AL26" s="317" t="s">
        <v>33</v>
      </c>
      <c r="AM26" s="128" t="str">
        <f>AM28</f>
        <v>IV</v>
      </c>
      <c r="AN26" s="317" t="s">
        <v>33</v>
      </c>
      <c r="AO26" s="317" t="s">
        <v>33</v>
      </c>
      <c r="AP26" s="128">
        <f t="shared" ref="AP26" si="15">SUM(AP27:AP31)</f>
        <v>3.24715</v>
      </c>
      <c r="AQ26" s="317" t="s">
        <v>33</v>
      </c>
      <c r="AR26" s="317" t="s">
        <v>33</v>
      </c>
      <c r="AS26" s="317" t="s">
        <v>33</v>
      </c>
      <c r="AT26" s="206" t="s">
        <v>463</v>
      </c>
      <c r="AU26" s="128">
        <f t="shared" ref="AU26" si="16">SUM(AU27:AU31)</f>
        <v>0.16</v>
      </c>
      <c r="AV26" s="317" t="s">
        <v>33</v>
      </c>
      <c r="AW26" s="128">
        <f t="shared" si="12"/>
        <v>2.0659999999999998</v>
      </c>
      <c r="AX26" s="331" t="s">
        <v>33</v>
      </c>
      <c r="AY26" s="331" t="s">
        <v>33</v>
      </c>
      <c r="AZ26" s="331" t="s">
        <v>33</v>
      </c>
      <c r="BA26" s="206" t="s">
        <v>463</v>
      </c>
      <c r="BB26" s="128">
        <f t="shared" ref="BB26:BD26" si="17">SUM(BB27:BB31)</f>
        <v>0.16</v>
      </c>
      <c r="BC26" s="331" t="s">
        <v>33</v>
      </c>
      <c r="BD26" s="128">
        <f t="shared" si="17"/>
        <v>2.0659999999999998</v>
      </c>
      <c r="BE26" s="331" t="s">
        <v>33</v>
      </c>
      <c r="BF26" s="331" t="s">
        <v>33</v>
      </c>
      <c r="BG26" s="331" t="s">
        <v>33</v>
      </c>
      <c r="BH26" s="331" t="s">
        <v>33</v>
      </c>
      <c r="BI26" s="331" t="s">
        <v>33</v>
      </c>
      <c r="BJ26" s="331" t="s">
        <v>33</v>
      </c>
      <c r="BK26" s="331" t="s">
        <v>33</v>
      </c>
      <c r="BL26" s="331" t="s">
        <v>33</v>
      </c>
      <c r="BM26" s="331" t="s">
        <v>33</v>
      </c>
      <c r="BN26" s="331" t="s">
        <v>33</v>
      </c>
      <c r="BO26" s="331" t="s">
        <v>33</v>
      </c>
      <c r="BP26" s="331" t="s">
        <v>33</v>
      </c>
      <c r="BQ26" s="331" t="s">
        <v>33</v>
      </c>
      <c r="BR26" s="331" t="s">
        <v>33</v>
      </c>
      <c r="BS26" s="331" t="s">
        <v>33</v>
      </c>
      <c r="BT26" s="331" t="s">
        <v>33</v>
      </c>
      <c r="BU26" s="331" t="s">
        <v>33</v>
      </c>
      <c r="BV26" s="331" t="s">
        <v>33</v>
      </c>
    </row>
    <row r="27" spans="1:74" s="191" customFormat="1" ht="47.25" x14ac:dyDescent="0.25">
      <c r="A27" s="13" t="s">
        <v>51</v>
      </c>
      <c r="B27" s="236" t="s">
        <v>650</v>
      </c>
      <c r="C27" s="410" t="s">
        <v>1329</v>
      </c>
      <c r="D27" s="530" t="s">
        <v>33</v>
      </c>
      <c r="E27" s="530" t="s">
        <v>33</v>
      </c>
      <c r="F27" s="530" t="s">
        <v>33</v>
      </c>
      <c r="G27" s="530" t="s">
        <v>33</v>
      </c>
      <c r="H27" s="530" t="s">
        <v>33</v>
      </c>
      <c r="I27" s="530" t="s">
        <v>33</v>
      </c>
      <c r="J27" s="530" t="s">
        <v>33</v>
      </c>
      <c r="K27" s="530" t="s">
        <v>33</v>
      </c>
      <c r="L27" s="530" t="s">
        <v>33</v>
      </c>
      <c r="M27" s="530" t="s">
        <v>33</v>
      </c>
      <c r="N27" s="530" t="s">
        <v>33</v>
      </c>
      <c r="O27" s="530" t="s">
        <v>33</v>
      </c>
      <c r="P27" s="530" t="s">
        <v>33</v>
      </c>
      <c r="Q27" s="530" t="s">
        <v>33</v>
      </c>
      <c r="R27" s="533" t="s">
        <v>463</v>
      </c>
      <c r="S27" s="535">
        <f>'Ф5 2023'!AA27</f>
        <v>0.25</v>
      </c>
      <c r="T27" s="535" t="str">
        <f>'Ф5 2023'!AB27</f>
        <v>нд</v>
      </c>
      <c r="U27" s="535">
        <f>Ф4!AN27</f>
        <v>3.95</v>
      </c>
      <c r="V27" s="535" t="str">
        <f>'Ф5 2023'!AD27</f>
        <v>нд</v>
      </c>
      <c r="W27" s="536" t="str">
        <f>'Ф5 2023'!AE27</f>
        <v>нд</v>
      </c>
      <c r="X27" s="535" t="str">
        <f>'Ф5 2023'!AF27</f>
        <v>нд</v>
      </c>
      <c r="Y27" s="533" t="s">
        <v>463</v>
      </c>
      <c r="Z27" s="533">
        <f>S27</f>
        <v>0.25</v>
      </c>
      <c r="AA27" s="533" t="s">
        <v>33</v>
      </c>
      <c r="AB27" s="535">
        <f>Ф4!AV27</f>
        <v>3.3</v>
      </c>
      <c r="AC27" s="533" t="s">
        <v>33</v>
      </c>
      <c r="AD27" s="533" t="s">
        <v>33</v>
      </c>
      <c r="AE27" s="535" t="str">
        <f>'Ф5 2023'!AM27</f>
        <v>нд</v>
      </c>
      <c r="AF27" s="531" t="str">
        <f>'Ф5 2023'!AN27</f>
        <v>нд</v>
      </c>
      <c r="AG27" s="530" t="s">
        <v>33</v>
      </c>
      <c r="AH27" s="530" t="s">
        <v>33</v>
      </c>
      <c r="AI27" s="530" t="s">
        <v>33</v>
      </c>
      <c r="AJ27" s="530" t="s">
        <v>33</v>
      </c>
      <c r="AK27" s="530" t="s">
        <v>33</v>
      </c>
      <c r="AL27" s="530" t="s">
        <v>33</v>
      </c>
      <c r="AM27" s="530" t="s">
        <v>33</v>
      </c>
      <c r="AN27" s="530" t="s">
        <v>33</v>
      </c>
      <c r="AO27" s="530" t="s">
        <v>33</v>
      </c>
      <c r="AP27" s="530" t="s">
        <v>33</v>
      </c>
      <c r="AQ27" s="530" t="s">
        <v>33</v>
      </c>
      <c r="AR27" s="530" t="s">
        <v>33</v>
      </c>
      <c r="AS27" s="530" t="s">
        <v>33</v>
      </c>
      <c r="AT27" s="530" t="s">
        <v>33</v>
      </c>
      <c r="AU27" s="530" t="s">
        <v>33</v>
      </c>
      <c r="AV27" s="530" t="s">
        <v>33</v>
      </c>
      <c r="AW27" s="530" t="s">
        <v>33</v>
      </c>
      <c r="AX27" s="530" t="s">
        <v>33</v>
      </c>
      <c r="AY27" s="530" t="s">
        <v>33</v>
      </c>
      <c r="AZ27" s="530" t="s">
        <v>33</v>
      </c>
      <c r="BA27" s="530" t="s">
        <v>33</v>
      </c>
      <c r="BB27" s="530" t="s">
        <v>33</v>
      </c>
      <c r="BC27" s="530" t="s">
        <v>33</v>
      </c>
      <c r="BD27" s="530" t="s">
        <v>33</v>
      </c>
      <c r="BE27" s="530" t="s">
        <v>33</v>
      </c>
      <c r="BF27" s="530" t="s">
        <v>33</v>
      </c>
      <c r="BG27" s="530" t="s">
        <v>33</v>
      </c>
      <c r="BH27" s="530" t="s">
        <v>33</v>
      </c>
      <c r="BI27" s="530" t="s">
        <v>33</v>
      </c>
      <c r="BJ27" s="530" t="s">
        <v>33</v>
      </c>
      <c r="BK27" s="530" t="s">
        <v>33</v>
      </c>
      <c r="BL27" s="530" t="s">
        <v>33</v>
      </c>
      <c r="BM27" s="530" t="s">
        <v>33</v>
      </c>
      <c r="BN27" s="530" t="s">
        <v>33</v>
      </c>
      <c r="BO27" s="530" t="s">
        <v>33</v>
      </c>
      <c r="BP27" s="530" t="s">
        <v>33</v>
      </c>
      <c r="BQ27" s="530" t="s">
        <v>33</v>
      </c>
      <c r="BR27" s="530" t="s">
        <v>33</v>
      </c>
      <c r="BS27" s="530" t="s">
        <v>33</v>
      </c>
      <c r="BT27" s="530" t="s">
        <v>33</v>
      </c>
      <c r="BU27" s="530" t="s">
        <v>33</v>
      </c>
      <c r="BV27" s="530" t="s">
        <v>33</v>
      </c>
    </row>
    <row r="28" spans="1:74" s="203" customFormat="1" x14ac:dyDescent="0.25">
      <c r="A28" s="13" t="s">
        <v>578</v>
      </c>
      <c r="B28" s="236" t="s">
        <v>651</v>
      </c>
      <c r="C28" s="410" t="s">
        <v>1349</v>
      </c>
      <c r="D28" s="530" t="s">
        <v>33</v>
      </c>
      <c r="E28" s="530" t="s">
        <v>33</v>
      </c>
      <c r="F28" s="530" t="s">
        <v>33</v>
      </c>
      <c r="G28" s="530" t="s">
        <v>33</v>
      </c>
      <c r="H28" s="530" t="s">
        <v>33</v>
      </c>
      <c r="I28" s="530" t="s">
        <v>33</v>
      </c>
      <c r="J28" s="530" t="s">
        <v>33</v>
      </c>
      <c r="K28" s="530" t="s">
        <v>33</v>
      </c>
      <c r="L28" s="530" t="s">
        <v>33</v>
      </c>
      <c r="M28" s="530" t="s">
        <v>33</v>
      </c>
      <c r="N28" s="530" t="s">
        <v>33</v>
      </c>
      <c r="O28" s="530" t="s">
        <v>33</v>
      </c>
      <c r="P28" s="530" t="s">
        <v>33</v>
      </c>
      <c r="Q28" s="530" t="s">
        <v>33</v>
      </c>
      <c r="R28" s="530" t="s">
        <v>33</v>
      </c>
      <c r="S28" s="530" t="s">
        <v>33</v>
      </c>
      <c r="T28" s="530" t="s">
        <v>33</v>
      </c>
      <c r="U28" s="530" t="s">
        <v>33</v>
      </c>
      <c r="V28" s="530" t="s">
        <v>33</v>
      </c>
      <c r="W28" s="530" t="s">
        <v>33</v>
      </c>
      <c r="X28" s="530" t="s">
        <v>33</v>
      </c>
      <c r="Y28" s="530" t="s">
        <v>33</v>
      </c>
      <c r="Z28" s="530" t="s">
        <v>33</v>
      </c>
      <c r="AA28" s="530" t="s">
        <v>33</v>
      </c>
      <c r="AB28" s="530" t="s">
        <v>33</v>
      </c>
      <c r="AC28" s="530" t="s">
        <v>33</v>
      </c>
      <c r="AD28" s="530" t="s">
        <v>33</v>
      </c>
      <c r="AE28" s="530" t="s">
        <v>33</v>
      </c>
      <c r="AF28" s="533" t="s">
        <v>463</v>
      </c>
      <c r="AG28" s="533" t="s">
        <v>33</v>
      </c>
      <c r="AH28" s="533" t="s">
        <v>33</v>
      </c>
      <c r="AI28" s="535">
        <f>Ф4!BD28</f>
        <v>0.74199999999999999</v>
      </c>
      <c r="AJ28" s="533" t="s">
        <v>33</v>
      </c>
      <c r="AK28" s="533" t="s">
        <v>33</v>
      </c>
      <c r="AL28" s="533" t="s">
        <v>33</v>
      </c>
      <c r="AM28" s="533" t="str">
        <f>AF28</f>
        <v>IV</v>
      </c>
      <c r="AN28" s="533" t="s">
        <v>33</v>
      </c>
      <c r="AO28" s="533" t="s">
        <v>33</v>
      </c>
      <c r="AP28" s="533">
        <f>Ф4!BL28</f>
        <v>0.74199999999999999</v>
      </c>
      <c r="AQ28" s="533" t="s">
        <v>33</v>
      </c>
      <c r="AR28" s="533" t="s">
        <v>33</v>
      </c>
      <c r="AS28" s="533" t="s">
        <v>33</v>
      </c>
      <c r="AT28" s="530" t="s">
        <v>33</v>
      </c>
      <c r="AU28" s="530" t="s">
        <v>33</v>
      </c>
      <c r="AV28" s="530" t="s">
        <v>33</v>
      </c>
      <c r="AW28" s="530" t="s">
        <v>33</v>
      </c>
      <c r="AX28" s="530" t="s">
        <v>33</v>
      </c>
      <c r="AY28" s="530" t="s">
        <v>33</v>
      </c>
      <c r="AZ28" s="530" t="s">
        <v>33</v>
      </c>
      <c r="BA28" s="530" t="s">
        <v>33</v>
      </c>
      <c r="BB28" s="530" t="s">
        <v>33</v>
      </c>
      <c r="BC28" s="530" t="s">
        <v>33</v>
      </c>
      <c r="BD28" s="530" t="s">
        <v>33</v>
      </c>
      <c r="BE28" s="530" t="s">
        <v>33</v>
      </c>
      <c r="BF28" s="530" t="s">
        <v>33</v>
      </c>
      <c r="BG28" s="530" t="s">
        <v>33</v>
      </c>
      <c r="BH28" s="530" t="s">
        <v>33</v>
      </c>
      <c r="BI28" s="530" t="s">
        <v>33</v>
      </c>
      <c r="BJ28" s="530" t="s">
        <v>33</v>
      </c>
      <c r="BK28" s="530" t="s">
        <v>33</v>
      </c>
      <c r="BL28" s="530" t="s">
        <v>33</v>
      </c>
      <c r="BM28" s="530" t="s">
        <v>33</v>
      </c>
      <c r="BN28" s="530" t="s">
        <v>33</v>
      </c>
      <c r="BO28" s="530" t="s">
        <v>33</v>
      </c>
      <c r="BP28" s="530" t="s">
        <v>33</v>
      </c>
      <c r="BQ28" s="530" t="s">
        <v>33</v>
      </c>
      <c r="BR28" s="530" t="s">
        <v>33</v>
      </c>
      <c r="BS28" s="530" t="s">
        <v>33</v>
      </c>
      <c r="BT28" s="530" t="s">
        <v>33</v>
      </c>
      <c r="BU28" s="530" t="s">
        <v>33</v>
      </c>
      <c r="BV28" s="530" t="s">
        <v>33</v>
      </c>
    </row>
    <row r="29" spans="1:74" s="203" customFormat="1" x14ac:dyDescent="0.25">
      <c r="A29" s="13" t="s">
        <v>580</v>
      </c>
      <c r="B29" s="236" t="s">
        <v>652</v>
      </c>
      <c r="C29" s="410" t="s">
        <v>1350</v>
      </c>
      <c r="D29" s="530" t="s">
        <v>33</v>
      </c>
      <c r="E29" s="530" t="s">
        <v>33</v>
      </c>
      <c r="F29" s="530" t="s">
        <v>33</v>
      </c>
      <c r="G29" s="530" t="s">
        <v>33</v>
      </c>
      <c r="H29" s="530" t="s">
        <v>33</v>
      </c>
      <c r="I29" s="530" t="s">
        <v>33</v>
      </c>
      <c r="J29" s="530" t="s">
        <v>33</v>
      </c>
      <c r="K29" s="530" t="s">
        <v>33</v>
      </c>
      <c r="L29" s="530" t="s">
        <v>33</v>
      </c>
      <c r="M29" s="530" t="s">
        <v>33</v>
      </c>
      <c r="N29" s="530" t="s">
        <v>33</v>
      </c>
      <c r="O29" s="530" t="s">
        <v>33</v>
      </c>
      <c r="P29" s="530" t="s">
        <v>33</v>
      </c>
      <c r="Q29" s="530" t="s">
        <v>33</v>
      </c>
      <c r="R29" s="530" t="s">
        <v>33</v>
      </c>
      <c r="S29" s="530" t="s">
        <v>33</v>
      </c>
      <c r="T29" s="530" t="s">
        <v>33</v>
      </c>
      <c r="U29" s="530" t="s">
        <v>33</v>
      </c>
      <c r="V29" s="530" t="s">
        <v>33</v>
      </c>
      <c r="W29" s="530" t="s">
        <v>33</v>
      </c>
      <c r="X29" s="530" t="s">
        <v>33</v>
      </c>
      <c r="Y29" s="530" t="s">
        <v>33</v>
      </c>
      <c r="Z29" s="530" t="s">
        <v>33</v>
      </c>
      <c r="AA29" s="530" t="s">
        <v>33</v>
      </c>
      <c r="AB29" s="530" t="s">
        <v>33</v>
      </c>
      <c r="AC29" s="530" t="s">
        <v>33</v>
      </c>
      <c r="AD29" s="530" t="s">
        <v>33</v>
      </c>
      <c r="AE29" s="530" t="s">
        <v>33</v>
      </c>
      <c r="AF29" s="533" t="s">
        <v>463</v>
      </c>
      <c r="AG29" s="533" t="s">
        <v>33</v>
      </c>
      <c r="AH29" s="533" t="s">
        <v>33</v>
      </c>
      <c r="AI29" s="535">
        <f>Ф4!BD29</f>
        <v>0.82499999999999996</v>
      </c>
      <c r="AJ29" s="533" t="s">
        <v>33</v>
      </c>
      <c r="AK29" s="533" t="s">
        <v>33</v>
      </c>
      <c r="AL29" s="533" t="s">
        <v>33</v>
      </c>
      <c r="AM29" s="533" t="str">
        <f t="shared" ref="AM29:AM30" si="18">AF29</f>
        <v>IV</v>
      </c>
      <c r="AN29" s="533" t="s">
        <v>33</v>
      </c>
      <c r="AO29" s="533" t="s">
        <v>33</v>
      </c>
      <c r="AP29" s="533">
        <f>Ф4!BL29</f>
        <v>0.82499999999999996</v>
      </c>
      <c r="AQ29" s="533" t="s">
        <v>33</v>
      </c>
      <c r="AR29" s="533" t="s">
        <v>33</v>
      </c>
      <c r="AS29" s="533" t="s">
        <v>33</v>
      </c>
      <c r="AT29" s="530" t="s">
        <v>33</v>
      </c>
      <c r="AU29" s="530" t="s">
        <v>33</v>
      </c>
      <c r="AV29" s="530" t="s">
        <v>33</v>
      </c>
      <c r="AW29" s="530" t="s">
        <v>33</v>
      </c>
      <c r="AX29" s="530" t="s">
        <v>33</v>
      </c>
      <c r="AY29" s="530" t="s">
        <v>33</v>
      </c>
      <c r="AZ29" s="530" t="s">
        <v>33</v>
      </c>
      <c r="BA29" s="530" t="s">
        <v>33</v>
      </c>
      <c r="BB29" s="530" t="s">
        <v>33</v>
      </c>
      <c r="BC29" s="530" t="s">
        <v>33</v>
      </c>
      <c r="BD29" s="530" t="s">
        <v>33</v>
      </c>
      <c r="BE29" s="530" t="s">
        <v>33</v>
      </c>
      <c r="BF29" s="530" t="s">
        <v>33</v>
      </c>
      <c r="BG29" s="530" t="s">
        <v>33</v>
      </c>
      <c r="BH29" s="530" t="s">
        <v>33</v>
      </c>
      <c r="BI29" s="530" t="s">
        <v>33</v>
      </c>
      <c r="BJ29" s="530" t="s">
        <v>33</v>
      </c>
      <c r="BK29" s="530" t="s">
        <v>33</v>
      </c>
      <c r="BL29" s="530" t="s">
        <v>33</v>
      </c>
      <c r="BM29" s="530" t="s">
        <v>33</v>
      </c>
      <c r="BN29" s="530" t="s">
        <v>33</v>
      </c>
      <c r="BO29" s="530" t="s">
        <v>33</v>
      </c>
      <c r="BP29" s="530" t="s">
        <v>33</v>
      </c>
      <c r="BQ29" s="530" t="s">
        <v>33</v>
      </c>
      <c r="BR29" s="530" t="s">
        <v>33</v>
      </c>
      <c r="BS29" s="530" t="s">
        <v>33</v>
      </c>
      <c r="BT29" s="530" t="s">
        <v>33</v>
      </c>
      <c r="BU29" s="530" t="s">
        <v>33</v>
      </c>
      <c r="BV29" s="530" t="s">
        <v>33</v>
      </c>
    </row>
    <row r="30" spans="1:74" s="203" customFormat="1" ht="31.5" x14ac:dyDescent="0.25">
      <c r="A30" s="13" t="s">
        <v>581</v>
      </c>
      <c r="B30" s="236" t="s">
        <v>1340</v>
      </c>
      <c r="C30" s="410" t="s">
        <v>1351</v>
      </c>
      <c r="D30" s="530" t="s">
        <v>33</v>
      </c>
      <c r="E30" s="530" t="s">
        <v>33</v>
      </c>
      <c r="F30" s="530" t="s">
        <v>33</v>
      </c>
      <c r="G30" s="530" t="s">
        <v>33</v>
      </c>
      <c r="H30" s="530" t="s">
        <v>33</v>
      </c>
      <c r="I30" s="530" t="s">
        <v>33</v>
      </c>
      <c r="J30" s="530" t="s">
        <v>33</v>
      </c>
      <c r="K30" s="530" t="s">
        <v>33</v>
      </c>
      <c r="L30" s="530" t="s">
        <v>33</v>
      </c>
      <c r="M30" s="530" t="s">
        <v>33</v>
      </c>
      <c r="N30" s="530" t="s">
        <v>33</v>
      </c>
      <c r="O30" s="530" t="s">
        <v>33</v>
      </c>
      <c r="P30" s="530" t="s">
        <v>33</v>
      </c>
      <c r="Q30" s="530" t="s">
        <v>33</v>
      </c>
      <c r="R30" s="530" t="s">
        <v>33</v>
      </c>
      <c r="S30" s="530" t="s">
        <v>33</v>
      </c>
      <c r="T30" s="530" t="s">
        <v>33</v>
      </c>
      <c r="U30" s="530" t="s">
        <v>33</v>
      </c>
      <c r="V30" s="530" t="s">
        <v>33</v>
      </c>
      <c r="W30" s="530" t="s">
        <v>33</v>
      </c>
      <c r="X30" s="530" t="s">
        <v>33</v>
      </c>
      <c r="Y30" s="530" t="s">
        <v>33</v>
      </c>
      <c r="Z30" s="530" t="s">
        <v>33</v>
      </c>
      <c r="AA30" s="530" t="s">
        <v>33</v>
      </c>
      <c r="AB30" s="530" t="s">
        <v>33</v>
      </c>
      <c r="AC30" s="530" t="s">
        <v>33</v>
      </c>
      <c r="AD30" s="530" t="s">
        <v>33</v>
      </c>
      <c r="AE30" s="530" t="s">
        <v>33</v>
      </c>
      <c r="AF30" s="533" t="s">
        <v>463</v>
      </c>
      <c r="AG30" s="533" t="s">
        <v>33</v>
      </c>
      <c r="AH30" s="533" t="s">
        <v>33</v>
      </c>
      <c r="AI30" s="535" t="str">
        <f>Ф4!BD30</f>
        <v>нд</v>
      </c>
      <c r="AJ30" s="533" t="s">
        <v>33</v>
      </c>
      <c r="AK30" s="533" t="s">
        <v>33</v>
      </c>
      <c r="AL30" s="533" t="s">
        <v>33</v>
      </c>
      <c r="AM30" s="533" t="str">
        <f t="shared" si="18"/>
        <v>IV</v>
      </c>
      <c r="AN30" s="533" t="s">
        <v>33</v>
      </c>
      <c r="AO30" s="533" t="s">
        <v>33</v>
      </c>
      <c r="AP30" s="533">
        <f>Ф4!BL30</f>
        <v>1.68015</v>
      </c>
      <c r="AQ30" s="533" t="s">
        <v>33</v>
      </c>
      <c r="AR30" s="533" t="s">
        <v>33</v>
      </c>
      <c r="AS30" s="533" t="s">
        <v>33</v>
      </c>
      <c r="AT30" s="530" t="s">
        <v>33</v>
      </c>
      <c r="AU30" s="530" t="s">
        <v>33</v>
      </c>
      <c r="AV30" s="530" t="s">
        <v>33</v>
      </c>
      <c r="AW30" s="530" t="s">
        <v>33</v>
      </c>
      <c r="AX30" s="530" t="s">
        <v>33</v>
      </c>
      <c r="AY30" s="530" t="s">
        <v>33</v>
      </c>
      <c r="AZ30" s="530" t="s">
        <v>33</v>
      </c>
      <c r="BA30" s="530" t="s">
        <v>33</v>
      </c>
      <c r="BB30" s="530" t="s">
        <v>33</v>
      </c>
      <c r="BC30" s="530" t="s">
        <v>33</v>
      </c>
      <c r="BD30" s="530" t="s">
        <v>33</v>
      </c>
      <c r="BE30" s="530" t="s">
        <v>33</v>
      </c>
      <c r="BF30" s="530" t="s">
        <v>33</v>
      </c>
      <c r="BG30" s="530" t="s">
        <v>33</v>
      </c>
      <c r="BH30" s="530" t="s">
        <v>33</v>
      </c>
      <c r="BI30" s="530" t="s">
        <v>33</v>
      </c>
      <c r="BJ30" s="530" t="s">
        <v>33</v>
      </c>
      <c r="BK30" s="530" t="s">
        <v>33</v>
      </c>
      <c r="BL30" s="530" t="s">
        <v>33</v>
      </c>
      <c r="BM30" s="530" t="s">
        <v>33</v>
      </c>
      <c r="BN30" s="530" t="s">
        <v>33</v>
      </c>
      <c r="BO30" s="530" t="s">
        <v>33</v>
      </c>
      <c r="BP30" s="530" t="s">
        <v>33</v>
      </c>
      <c r="BQ30" s="530" t="s">
        <v>33</v>
      </c>
      <c r="BR30" s="530" t="s">
        <v>33</v>
      </c>
      <c r="BS30" s="530" t="s">
        <v>33</v>
      </c>
      <c r="BT30" s="530" t="s">
        <v>33</v>
      </c>
      <c r="BU30" s="530" t="s">
        <v>33</v>
      </c>
      <c r="BV30" s="530" t="s">
        <v>33</v>
      </c>
    </row>
    <row r="31" spans="1:74" s="191" customFormat="1" ht="47.25" x14ac:dyDescent="0.25">
      <c r="A31" s="13" t="s">
        <v>1368</v>
      </c>
      <c r="B31" s="236" t="s">
        <v>653</v>
      </c>
      <c r="C31" s="410" t="s">
        <v>640</v>
      </c>
      <c r="D31" s="530" t="s">
        <v>33</v>
      </c>
      <c r="E31" s="530" t="s">
        <v>33</v>
      </c>
      <c r="F31" s="530" t="s">
        <v>33</v>
      </c>
      <c r="G31" s="530" t="s">
        <v>33</v>
      </c>
      <c r="H31" s="530" t="s">
        <v>33</v>
      </c>
      <c r="I31" s="530" t="s">
        <v>33</v>
      </c>
      <c r="J31" s="530" t="s">
        <v>33</v>
      </c>
      <c r="K31" s="530" t="s">
        <v>33</v>
      </c>
      <c r="L31" s="530" t="s">
        <v>33</v>
      </c>
      <c r="M31" s="530" t="s">
        <v>33</v>
      </c>
      <c r="N31" s="530" t="s">
        <v>33</v>
      </c>
      <c r="O31" s="530" t="s">
        <v>33</v>
      </c>
      <c r="P31" s="530" t="s">
        <v>33</v>
      </c>
      <c r="Q31" s="530" t="s">
        <v>33</v>
      </c>
      <c r="R31" s="530" t="s">
        <v>33</v>
      </c>
      <c r="S31" s="530" t="s">
        <v>33</v>
      </c>
      <c r="T31" s="530" t="s">
        <v>33</v>
      </c>
      <c r="U31" s="530" t="s">
        <v>33</v>
      </c>
      <c r="V31" s="530" t="s">
        <v>33</v>
      </c>
      <c r="W31" s="530" t="s">
        <v>33</v>
      </c>
      <c r="X31" s="530" t="s">
        <v>33</v>
      </c>
      <c r="Y31" s="530" t="s">
        <v>33</v>
      </c>
      <c r="Z31" s="530" t="s">
        <v>33</v>
      </c>
      <c r="AA31" s="530" t="s">
        <v>33</v>
      </c>
      <c r="AB31" s="530" t="s">
        <v>33</v>
      </c>
      <c r="AC31" s="530" t="s">
        <v>33</v>
      </c>
      <c r="AD31" s="530" t="s">
        <v>33</v>
      </c>
      <c r="AE31" s="530" t="s">
        <v>33</v>
      </c>
      <c r="AF31" s="530" t="s">
        <v>33</v>
      </c>
      <c r="AG31" s="530" t="s">
        <v>33</v>
      </c>
      <c r="AH31" s="530" t="s">
        <v>33</v>
      </c>
      <c r="AI31" s="530" t="s">
        <v>33</v>
      </c>
      <c r="AJ31" s="530" t="s">
        <v>33</v>
      </c>
      <c r="AK31" s="530" t="s">
        <v>33</v>
      </c>
      <c r="AL31" s="530" t="s">
        <v>33</v>
      </c>
      <c r="AM31" s="530" t="s">
        <v>33</v>
      </c>
      <c r="AN31" s="530" t="s">
        <v>33</v>
      </c>
      <c r="AO31" s="530" t="s">
        <v>33</v>
      </c>
      <c r="AP31" s="530" t="s">
        <v>33</v>
      </c>
      <c r="AQ31" s="530" t="s">
        <v>33</v>
      </c>
      <c r="AR31" s="530" t="s">
        <v>33</v>
      </c>
      <c r="AS31" s="530" t="s">
        <v>33</v>
      </c>
      <c r="AT31" s="533" t="s">
        <v>463</v>
      </c>
      <c r="AU31" s="535">
        <f>Ф4!BR31</f>
        <v>0.16</v>
      </c>
      <c r="AV31" s="535" t="str">
        <f>'Ф5 2025'!AB31</f>
        <v>нд</v>
      </c>
      <c r="AW31" s="535">
        <f>Ф4!BT31</f>
        <v>2.0659999999999998</v>
      </c>
      <c r="AX31" s="535" t="str">
        <f>'Ф5 2025'!AD31</f>
        <v>нд</v>
      </c>
      <c r="AY31" s="544" t="s">
        <v>33</v>
      </c>
      <c r="AZ31" s="544" t="s">
        <v>33</v>
      </c>
      <c r="BA31" s="544" t="str">
        <f>AT31</f>
        <v>IV</v>
      </c>
      <c r="BB31" s="545">
        <f>Ф4!BZ31</f>
        <v>0.16</v>
      </c>
      <c r="BC31" s="544" t="s">
        <v>33</v>
      </c>
      <c r="BD31" s="545">
        <f>Ф4!CB31</f>
        <v>2.0659999999999998</v>
      </c>
      <c r="BE31" s="544" t="s">
        <v>33</v>
      </c>
      <c r="BF31" s="544" t="s">
        <v>33</v>
      </c>
      <c r="BG31" s="544" t="s">
        <v>33</v>
      </c>
      <c r="BH31" s="532" t="s">
        <v>33</v>
      </c>
      <c r="BI31" s="532" t="s">
        <v>33</v>
      </c>
      <c r="BJ31" s="532" t="s">
        <v>33</v>
      </c>
      <c r="BK31" s="532" t="s">
        <v>33</v>
      </c>
      <c r="BL31" s="532" t="s">
        <v>33</v>
      </c>
      <c r="BM31" s="532" t="s">
        <v>33</v>
      </c>
      <c r="BN31" s="532" t="s">
        <v>33</v>
      </c>
      <c r="BO31" s="532" t="s">
        <v>33</v>
      </c>
      <c r="BP31" s="532" t="s">
        <v>33</v>
      </c>
      <c r="BQ31" s="532" t="s">
        <v>33</v>
      </c>
      <c r="BR31" s="532" t="s">
        <v>33</v>
      </c>
      <c r="BS31" s="532" t="s">
        <v>33</v>
      </c>
      <c r="BT31" s="532" t="s">
        <v>33</v>
      </c>
      <c r="BU31" s="532" t="s">
        <v>33</v>
      </c>
      <c r="BV31" s="532" t="s">
        <v>33</v>
      </c>
    </row>
    <row r="32" spans="1:74" s="126" customFormat="1" ht="31.5" x14ac:dyDescent="0.25">
      <c r="A32" s="124" t="s">
        <v>68</v>
      </c>
      <c r="B32" s="39" t="s">
        <v>69</v>
      </c>
      <c r="C32" s="125" t="s">
        <v>33</v>
      </c>
      <c r="D32" s="125" t="str">
        <f>D33</f>
        <v>IV</v>
      </c>
      <c r="E32" s="125" t="str">
        <f t="shared" ref="E32:H32" si="19">E33</f>
        <v>нд</v>
      </c>
      <c r="F32" s="125" t="str">
        <f t="shared" si="19"/>
        <v>нд</v>
      </c>
      <c r="G32" s="125" t="str">
        <f t="shared" si="19"/>
        <v>нд</v>
      </c>
      <c r="H32" s="125" t="str">
        <f t="shared" si="19"/>
        <v>нд</v>
      </c>
      <c r="I32" s="180">
        <f t="shared" ref="I32:BQ32" si="20">I33</f>
        <v>347</v>
      </c>
      <c r="J32" s="125" t="str">
        <f>J33</f>
        <v>нд</v>
      </c>
      <c r="K32" s="125" t="str">
        <f>K33</f>
        <v>IV</v>
      </c>
      <c r="L32" s="125" t="str">
        <f t="shared" ref="L32:Q32" si="21">L33</f>
        <v>нд</v>
      </c>
      <c r="M32" s="125" t="str">
        <f t="shared" si="21"/>
        <v>нд</v>
      </c>
      <c r="N32" s="125" t="str">
        <f t="shared" si="21"/>
        <v>нд</v>
      </c>
      <c r="O32" s="125" t="str">
        <f t="shared" si="21"/>
        <v>нд</v>
      </c>
      <c r="P32" s="180">
        <f t="shared" si="20"/>
        <v>347</v>
      </c>
      <c r="Q32" s="125" t="str">
        <f t="shared" si="21"/>
        <v>нд</v>
      </c>
      <c r="R32" s="125" t="str">
        <f t="shared" ref="R32" si="22">R33</f>
        <v>нд</v>
      </c>
      <c r="S32" s="125" t="str">
        <f t="shared" ref="S32" si="23">S33</f>
        <v>нд</v>
      </c>
      <c r="T32" s="125" t="str">
        <f t="shared" ref="T32" si="24">T33</f>
        <v>нд</v>
      </c>
      <c r="U32" s="125" t="str">
        <f t="shared" ref="U32" si="25">U33</f>
        <v>нд</v>
      </c>
      <c r="V32" s="125" t="str">
        <f t="shared" ref="V32" si="26">V33</f>
        <v>нд</v>
      </c>
      <c r="W32" s="180">
        <f t="shared" si="20"/>
        <v>287</v>
      </c>
      <c r="X32" s="125" t="str">
        <f t="shared" si="20"/>
        <v>нд</v>
      </c>
      <c r="Y32" s="125" t="str">
        <f t="shared" si="20"/>
        <v>нд</v>
      </c>
      <c r="Z32" s="125" t="str">
        <f t="shared" si="20"/>
        <v>нд</v>
      </c>
      <c r="AA32" s="125" t="str">
        <f t="shared" si="20"/>
        <v>нд</v>
      </c>
      <c r="AB32" s="125" t="str">
        <f t="shared" si="20"/>
        <v>нд</v>
      </c>
      <c r="AC32" s="125" t="str">
        <f t="shared" si="20"/>
        <v>нд</v>
      </c>
      <c r="AD32" s="125" t="str">
        <f t="shared" si="20"/>
        <v>нд</v>
      </c>
      <c r="AE32" s="125" t="str">
        <f t="shared" si="20"/>
        <v>нд</v>
      </c>
      <c r="AF32" s="125" t="str">
        <f t="shared" si="20"/>
        <v>IV</v>
      </c>
      <c r="AG32" s="125" t="str">
        <f t="shared" si="20"/>
        <v>нд</v>
      </c>
      <c r="AH32" s="125" t="str">
        <f t="shared" si="20"/>
        <v>нд</v>
      </c>
      <c r="AI32" s="125" t="str">
        <f t="shared" si="20"/>
        <v>нд</v>
      </c>
      <c r="AJ32" s="125" t="str">
        <f t="shared" si="20"/>
        <v>нд</v>
      </c>
      <c r="AK32" s="185">
        <f t="shared" si="20"/>
        <v>171</v>
      </c>
      <c r="AL32" s="185" t="str">
        <f t="shared" si="20"/>
        <v>нд</v>
      </c>
      <c r="AM32" s="125" t="str">
        <f t="shared" si="20"/>
        <v>нд</v>
      </c>
      <c r="AN32" s="125" t="str">
        <f t="shared" si="20"/>
        <v>нд</v>
      </c>
      <c r="AO32" s="125" t="str">
        <f t="shared" si="20"/>
        <v>нд</v>
      </c>
      <c r="AP32" s="125" t="str">
        <f t="shared" si="20"/>
        <v>нд</v>
      </c>
      <c r="AQ32" s="125" t="str">
        <f t="shared" si="20"/>
        <v>нд</v>
      </c>
      <c r="AR32" s="185">
        <f t="shared" si="20"/>
        <v>1</v>
      </c>
      <c r="AS32" s="125" t="str">
        <f t="shared" si="20"/>
        <v>нд</v>
      </c>
      <c r="AT32" s="125" t="str">
        <f t="shared" si="20"/>
        <v>IV</v>
      </c>
      <c r="AU32" s="125" t="str">
        <f t="shared" si="20"/>
        <v>нд</v>
      </c>
      <c r="AV32" s="125" t="str">
        <f t="shared" si="20"/>
        <v>нд</v>
      </c>
      <c r="AW32" s="125" t="str">
        <f t="shared" si="20"/>
        <v>нд</v>
      </c>
      <c r="AX32" s="125" t="str">
        <f t="shared" si="20"/>
        <v>нд</v>
      </c>
      <c r="AY32" s="185">
        <f t="shared" si="20"/>
        <v>201</v>
      </c>
      <c r="AZ32" s="185" t="str">
        <f t="shared" si="20"/>
        <v>нд</v>
      </c>
      <c r="BA32" s="125" t="str">
        <f t="shared" si="20"/>
        <v>IV</v>
      </c>
      <c r="BB32" s="125" t="str">
        <f t="shared" si="20"/>
        <v>нд</v>
      </c>
      <c r="BC32" s="125" t="str">
        <f t="shared" si="20"/>
        <v>нд</v>
      </c>
      <c r="BD32" s="125" t="str">
        <f t="shared" si="20"/>
        <v>нд</v>
      </c>
      <c r="BE32" s="125" t="str">
        <f t="shared" si="20"/>
        <v>нд</v>
      </c>
      <c r="BF32" s="185">
        <f t="shared" si="20"/>
        <v>201</v>
      </c>
      <c r="BG32" s="125" t="str">
        <f t="shared" si="20"/>
        <v>нд</v>
      </c>
      <c r="BH32" s="125" t="str">
        <f t="shared" si="20"/>
        <v>IV</v>
      </c>
      <c r="BI32" s="125" t="str">
        <f t="shared" si="20"/>
        <v>нд</v>
      </c>
      <c r="BJ32" s="125" t="str">
        <f t="shared" si="20"/>
        <v>нд</v>
      </c>
      <c r="BK32" s="125" t="str">
        <f t="shared" si="20"/>
        <v>нд</v>
      </c>
      <c r="BL32" s="125" t="str">
        <f t="shared" si="20"/>
        <v>нд</v>
      </c>
      <c r="BM32" s="185">
        <f t="shared" si="20"/>
        <v>213</v>
      </c>
      <c r="BN32" s="125" t="str">
        <f t="shared" si="20"/>
        <v>нд</v>
      </c>
      <c r="BO32" s="125" t="str">
        <f t="shared" si="20"/>
        <v>IV</v>
      </c>
      <c r="BP32" s="125" t="str">
        <f t="shared" si="20"/>
        <v>нд</v>
      </c>
      <c r="BQ32" s="125" t="str">
        <f t="shared" si="20"/>
        <v>нд</v>
      </c>
      <c r="BR32" s="125" t="str">
        <f t="shared" ref="BR32:BV32" si="27">BR33</f>
        <v>нд</v>
      </c>
      <c r="BS32" s="125" t="str">
        <f t="shared" si="27"/>
        <v>нд</v>
      </c>
      <c r="BT32" s="185">
        <f t="shared" si="27"/>
        <v>213</v>
      </c>
      <c r="BU32" s="125" t="str">
        <f t="shared" si="27"/>
        <v>нд</v>
      </c>
      <c r="BV32" s="125" t="str">
        <f t="shared" si="27"/>
        <v>нд</v>
      </c>
    </row>
    <row r="33" spans="1:74" s="129" customFormat="1" ht="31.5" outlineLevel="1" x14ac:dyDescent="0.25">
      <c r="A33" s="127" t="s">
        <v>70</v>
      </c>
      <c r="B33" s="10" t="s">
        <v>71</v>
      </c>
      <c r="C33" s="317" t="s">
        <v>33</v>
      </c>
      <c r="D33" s="317" t="str">
        <f>D34</f>
        <v>IV</v>
      </c>
      <c r="E33" s="317" t="s">
        <v>33</v>
      </c>
      <c r="F33" s="317" t="s">
        <v>33</v>
      </c>
      <c r="G33" s="317" t="s">
        <v>33</v>
      </c>
      <c r="H33" s="317" t="s">
        <v>33</v>
      </c>
      <c r="I33" s="181">
        <f t="shared" ref="I33:BM33" si="28">SUM(I34:I39)</f>
        <v>347</v>
      </c>
      <c r="J33" s="317" t="s">
        <v>33</v>
      </c>
      <c r="K33" s="317" t="str">
        <f>K34</f>
        <v>IV</v>
      </c>
      <c r="L33" s="317" t="s">
        <v>33</v>
      </c>
      <c r="M33" s="317" t="s">
        <v>33</v>
      </c>
      <c r="N33" s="317" t="s">
        <v>33</v>
      </c>
      <c r="O33" s="317" t="s">
        <v>33</v>
      </c>
      <c r="P33" s="181">
        <f t="shared" ref="P33" si="29">SUM(P34:P39)</f>
        <v>347</v>
      </c>
      <c r="Q33" s="317" t="s">
        <v>33</v>
      </c>
      <c r="R33" s="317" t="s">
        <v>33</v>
      </c>
      <c r="S33" s="317" t="s">
        <v>33</v>
      </c>
      <c r="T33" s="317" t="s">
        <v>33</v>
      </c>
      <c r="U33" s="317" t="s">
        <v>33</v>
      </c>
      <c r="V33" s="317" t="s">
        <v>33</v>
      </c>
      <c r="W33" s="181">
        <f t="shared" si="28"/>
        <v>287</v>
      </c>
      <c r="X33" s="317" t="s">
        <v>33</v>
      </c>
      <c r="Y33" s="317" t="s">
        <v>33</v>
      </c>
      <c r="Z33" s="317" t="s">
        <v>33</v>
      </c>
      <c r="AA33" s="317" t="s">
        <v>33</v>
      </c>
      <c r="AB33" s="317" t="s">
        <v>33</v>
      </c>
      <c r="AC33" s="317" t="s">
        <v>33</v>
      </c>
      <c r="AD33" s="317" t="s">
        <v>33</v>
      </c>
      <c r="AE33" s="317" t="s">
        <v>33</v>
      </c>
      <c r="AF33" s="206" t="s">
        <v>463</v>
      </c>
      <c r="AG33" s="317" t="s">
        <v>33</v>
      </c>
      <c r="AH33" s="317" t="s">
        <v>33</v>
      </c>
      <c r="AI33" s="317" t="s">
        <v>33</v>
      </c>
      <c r="AJ33" s="317" t="s">
        <v>33</v>
      </c>
      <c r="AK33" s="186">
        <f t="shared" si="28"/>
        <v>171</v>
      </c>
      <c r="AL33" s="317" t="s">
        <v>33</v>
      </c>
      <c r="AM33" s="317" t="s">
        <v>33</v>
      </c>
      <c r="AN33" s="317" t="s">
        <v>33</v>
      </c>
      <c r="AO33" s="317" t="s">
        <v>33</v>
      </c>
      <c r="AP33" s="317" t="s">
        <v>33</v>
      </c>
      <c r="AQ33" s="317" t="s">
        <v>33</v>
      </c>
      <c r="AR33" s="186">
        <f t="shared" ref="AR33" si="30">SUM(AR34:AR39)</f>
        <v>1</v>
      </c>
      <c r="AS33" s="317" t="s">
        <v>33</v>
      </c>
      <c r="AT33" s="206" t="s">
        <v>463</v>
      </c>
      <c r="AU33" s="317" t="s">
        <v>33</v>
      </c>
      <c r="AV33" s="317" t="s">
        <v>33</v>
      </c>
      <c r="AW33" s="317" t="s">
        <v>33</v>
      </c>
      <c r="AX33" s="317" t="s">
        <v>33</v>
      </c>
      <c r="AY33" s="186">
        <f t="shared" si="28"/>
        <v>201</v>
      </c>
      <c r="AZ33" s="331" t="s">
        <v>33</v>
      </c>
      <c r="BA33" s="206" t="s">
        <v>463</v>
      </c>
      <c r="BB33" s="331" t="s">
        <v>33</v>
      </c>
      <c r="BC33" s="331" t="s">
        <v>33</v>
      </c>
      <c r="BD33" s="331" t="s">
        <v>33</v>
      </c>
      <c r="BE33" s="331" t="s">
        <v>33</v>
      </c>
      <c r="BF33" s="186">
        <f t="shared" ref="BF33" si="31">SUM(BF34:BF39)</f>
        <v>201</v>
      </c>
      <c r="BG33" s="331" t="s">
        <v>33</v>
      </c>
      <c r="BH33" s="331" t="str">
        <f>BH39</f>
        <v>IV</v>
      </c>
      <c r="BI33" s="331" t="s">
        <v>33</v>
      </c>
      <c r="BJ33" s="331" t="s">
        <v>33</v>
      </c>
      <c r="BK33" s="331" t="s">
        <v>33</v>
      </c>
      <c r="BL33" s="331" t="s">
        <v>33</v>
      </c>
      <c r="BM33" s="186">
        <f t="shared" si="28"/>
        <v>213</v>
      </c>
      <c r="BN33" s="317" t="s">
        <v>33</v>
      </c>
      <c r="BO33" s="317" t="str">
        <f>BO39</f>
        <v>IV</v>
      </c>
      <c r="BP33" s="317" t="s">
        <v>33</v>
      </c>
      <c r="BQ33" s="317" t="s">
        <v>33</v>
      </c>
      <c r="BR33" s="317" t="s">
        <v>33</v>
      </c>
      <c r="BS33" s="317" t="s">
        <v>33</v>
      </c>
      <c r="BT33" s="186">
        <f t="shared" ref="BT33" si="32">SUM(BT34:BT39)</f>
        <v>213</v>
      </c>
      <c r="BU33" s="317" t="s">
        <v>33</v>
      </c>
      <c r="BV33" s="317" t="s">
        <v>33</v>
      </c>
    </row>
    <row r="34" spans="1:74" s="129" customFormat="1" outlineLevel="1" x14ac:dyDescent="0.25">
      <c r="A34" s="13" t="s">
        <v>616</v>
      </c>
      <c r="B34" s="210" t="s">
        <v>621</v>
      </c>
      <c r="C34" s="201" t="s">
        <v>641</v>
      </c>
      <c r="D34" s="533" t="s">
        <v>463</v>
      </c>
      <c r="E34" s="533" t="s">
        <v>33</v>
      </c>
      <c r="F34" s="533" t="s">
        <v>33</v>
      </c>
      <c r="G34" s="533" t="s">
        <v>33</v>
      </c>
      <c r="H34" s="533" t="s">
        <v>33</v>
      </c>
      <c r="I34" s="534">
        <f>Ф4!Z34</f>
        <v>347</v>
      </c>
      <c r="J34" s="533" t="s">
        <v>33</v>
      </c>
      <c r="K34" s="533" t="str">
        <f>D34</f>
        <v>IV</v>
      </c>
      <c r="L34" s="533" t="s">
        <v>33</v>
      </c>
      <c r="M34" s="533" t="s">
        <v>33</v>
      </c>
      <c r="N34" s="533" t="s">
        <v>33</v>
      </c>
      <c r="O34" s="533" t="s">
        <v>33</v>
      </c>
      <c r="P34" s="534">
        <f>I34</f>
        <v>347</v>
      </c>
      <c r="Q34" s="533" t="s">
        <v>33</v>
      </c>
      <c r="R34" s="317" t="s">
        <v>33</v>
      </c>
      <c r="S34" s="317" t="s">
        <v>33</v>
      </c>
      <c r="T34" s="317" t="s">
        <v>33</v>
      </c>
      <c r="U34" s="317" t="s">
        <v>33</v>
      </c>
      <c r="V34" s="317" t="s">
        <v>33</v>
      </c>
      <c r="W34" s="317" t="s">
        <v>33</v>
      </c>
      <c r="X34" s="317" t="s">
        <v>33</v>
      </c>
      <c r="Y34" s="317" t="s">
        <v>33</v>
      </c>
      <c r="Z34" s="317" t="s">
        <v>33</v>
      </c>
      <c r="AA34" s="317" t="s">
        <v>33</v>
      </c>
      <c r="AB34" s="317" t="s">
        <v>33</v>
      </c>
      <c r="AC34" s="317" t="s">
        <v>33</v>
      </c>
      <c r="AD34" s="317" t="s">
        <v>33</v>
      </c>
      <c r="AE34" s="317" t="s">
        <v>33</v>
      </c>
      <c r="AF34" s="317" t="s">
        <v>33</v>
      </c>
      <c r="AG34" s="317" t="s">
        <v>33</v>
      </c>
      <c r="AH34" s="317" t="s">
        <v>33</v>
      </c>
      <c r="AI34" s="317" t="s">
        <v>33</v>
      </c>
      <c r="AJ34" s="317" t="s">
        <v>33</v>
      </c>
      <c r="AK34" s="317" t="s">
        <v>33</v>
      </c>
      <c r="AL34" s="317" t="s">
        <v>33</v>
      </c>
      <c r="AM34" s="317" t="s">
        <v>33</v>
      </c>
      <c r="AN34" s="317" t="s">
        <v>33</v>
      </c>
      <c r="AO34" s="317" t="s">
        <v>33</v>
      </c>
      <c r="AP34" s="317" t="s">
        <v>33</v>
      </c>
      <c r="AQ34" s="317" t="s">
        <v>33</v>
      </c>
      <c r="AR34" s="317" t="s">
        <v>33</v>
      </c>
      <c r="AS34" s="317" t="s">
        <v>33</v>
      </c>
      <c r="AT34" s="317" t="s">
        <v>33</v>
      </c>
      <c r="AU34" s="317" t="s">
        <v>33</v>
      </c>
      <c r="AV34" s="317" t="s">
        <v>33</v>
      </c>
      <c r="AW34" s="317" t="s">
        <v>33</v>
      </c>
      <c r="AX34" s="317" t="s">
        <v>33</v>
      </c>
      <c r="AY34" s="317" t="s">
        <v>33</v>
      </c>
      <c r="AZ34" s="317" t="s">
        <v>33</v>
      </c>
      <c r="BA34" s="317" t="s">
        <v>33</v>
      </c>
      <c r="BB34" s="317" t="s">
        <v>33</v>
      </c>
      <c r="BC34" s="317" t="s">
        <v>33</v>
      </c>
      <c r="BD34" s="317" t="s">
        <v>33</v>
      </c>
      <c r="BE34" s="317" t="s">
        <v>33</v>
      </c>
      <c r="BF34" s="317" t="s">
        <v>33</v>
      </c>
      <c r="BG34" s="317" t="s">
        <v>33</v>
      </c>
      <c r="BH34" s="317" t="s">
        <v>33</v>
      </c>
      <c r="BI34" s="317" t="s">
        <v>33</v>
      </c>
      <c r="BJ34" s="317" t="s">
        <v>33</v>
      </c>
      <c r="BK34" s="317" t="s">
        <v>33</v>
      </c>
      <c r="BL34" s="317" t="s">
        <v>33</v>
      </c>
      <c r="BM34" s="317" t="s">
        <v>33</v>
      </c>
      <c r="BN34" s="317" t="s">
        <v>33</v>
      </c>
      <c r="BO34" s="317" t="s">
        <v>33</v>
      </c>
      <c r="BP34" s="317" t="s">
        <v>33</v>
      </c>
      <c r="BQ34" s="317" t="s">
        <v>33</v>
      </c>
      <c r="BR34" s="317" t="s">
        <v>33</v>
      </c>
      <c r="BS34" s="317" t="s">
        <v>33</v>
      </c>
      <c r="BT34" s="317" t="s">
        <v>33</v>
      </c>
      <c r="BU34" s="317" t="s">
        <v>33</v>
      </c>
      <c r="BV34" s="317" t="s">
        <v>33</v>
      </c>
    </row>
    <row r="35" spans="1:74" s="129" customFormat="1" outlineLevel="1" x14ac:dyDescent="0.25">
      <c r="A35" s="13" t="s">
        <v>617</v>
      </c>
      <c r="B35" s="210" t="s">
        <v>621</v>
      </c>
      <c r="C35" s="201" t="s">
        <v>1359</v>
      </c>
      <c r="D35" s="317" t="s">
        <v>33</v>
      </c>
      <c r="E35" s="317" t="s">
        <v>33</v>
      </c>
      <c r="F35" s="317" t="s">
        <v>33</v>
      </c>
      <c r="G35" s="317" t="s">
        <v>33</v>
      </c>
      <c r="H35" s="317" t="s">
        <v>33</v>
      </c>
      <c r="I35" s="317" t="s">
        <v>33</v>
      </c>
      <c r="J35" s="317" t="s">
        <v>33</v>
      </c>
      <c r="K35" s="317" t="s">
        <v>33</v>
      </c>
      <c r="L35" s="317" t="s">
        <v>33</v>
      </c>
      <c r="M35" s="317" t="s">
        <v>33</v>
      </c>
      <c r="N35" s="317" t="s">
        <v>33</v>
      </c>
      <c r="O35" s="317" t="s">
        <v>33</v>
      </c>
      <c r="P35" s="317" t="s">
        <v>33</v>
      </c>
      <c r="Q35" s="317" t="s">
        <v>33</v>
      </c>
      <c r="R35" s="533" t="s">
        <v>463</v>
      </c>
      <c r="S35" s="535" t="str">
        <f>'Ф5 2023'!AA35</f>
        <v>нд</v>
      </c>
      <c r="T35" s="535" t="str">
        <f>'Ф5 2023'!AB35</f>
        <v>нд</v>
      </c>
      <c r="U35" s="535" t="str">
        <f>'Ф5 2023'!AC35</f>
        <v>нд</v>
      </c>
      <c r="V35" s="535" t="str">
        <f>'Ф5 2023'!AD35</f>
        <v>нд</v>
      </c>
      <c r="W35" s="536">
        <f>Ф4!AP35</f>
        <v>287</v>
      </c>
      <c r="X35" s="535" t="str">
        <f>'Ф5 2023'!AF35</f>
        <v>нд</v>
      </c>
      <c r="Y35" s="533" t="s">
        <v>33</v>
      </c>
      <c r="Z35" s="533" t="s">
        <v>33</v>
      </c>
      <c r="AA35" s="533" t="s">
        <v>33</v>
      </c>
      <c r="AB35" s="533" t="s">
        <v>33</v>
      </c>
      <c r="AC35" s="533" t="s">
        <v>33</v>
      </c>
      <c r="AD35" s="533" t="s">
        <v>33</v>
      </c>
      <c r="AE35" s="533" t="s">
        <v>33</v>
      </c>
      <c r="AF35" s="317" t="s">
        <v>33</v>
      </c>
      <c r="AG35" s="317" t="s">
        <v>33</v>
      </c>
      <c r="AH35" s="317" t="s">
        <v>33</v>
      </c>
      <c r="AI35" s="317" t="s">
        <v>33</v>
      </c>
      <c r="AJ35" s="317" t="s">
        <v>33</v>
      </c>
      <c r="AK35" s="317" t="s">
        <v>33</v>
      </c>
      <c r="AL35" s="317" t="s">
        <v>33</v>
      </c>
      <c r="AM35" s="317" t="s">
        <v>33</v>
      </c>
      <c r="AN35" s="317" t="s">
        <v>33</v>
      </c>
      <c r="AO35" s="317" t="s">
        <v>33</v>
      </c>
      <c r="AP35" s="317" t="s">
        <v>33</v>
      </c>
      <c r="AQ35" s="317" t="s">
        <v>33</v>
      </c>
      <c r="AR35" s="317" t="s">
        <v>33</v>
      </c>
      <c r="AS35" s="317" t="s">
        <v>33</v>
      </c>
      <c r="AT35" s="317" t="s">
        <v>33</v>
      </c>
      <c r="AU35" s="317" t="s">
        <v>33</v>
      </c>
      <c r="AV35" s="317" t="s">
        <v>33</v>
      </c>
      <c r="AW35" s="317" t="s">
        <v>33</v>
      </c>
      <c r="AX35" s="317" t="s">
        <v>33</v>
      </c>
      <c r="AY35" s="317" t="s">
        <v>33</v>
      </c>
      <c r="AZ35" s="317" t="s">
        <v>33</v>
      </c>
      <c r="BA35" s="317" t="s">
        <v>33</v>
      </c>
      <c r="BB35" s="317" t="s">
        <v>33</v>
      </c>
      <c r="BC35" s="317" t="s">
        <v>33</v>
      </c>
      <c r="BD35" s="317" t="s">
        <v>33</v>
      </c>
      <c r="BE35" s="317" t="s">
        <v>33</v>
      </c>
      <c r="BF35" s="317" t="s">
        <v>33</v>
      </c>
      <c r="BG35" s="317" t="s">
        <v>33</v>
      </c>
      <c r="BH35" s="317" t="s">
        <v>33</v>
      </c>
      <c r="BI35" s="317" t="s">
        <v>33</v>
      </c>
      <c r="BJ35" s="317" t="s">
        <v>33</v>
      </c>
      <c r="BK35" s="317" t="s">
        <v>33</v>
      </c>
      <c r="BL35" s="317" t="s">
        <v>33</v>
      </c>
      <c r="BM35" s="317" t="s">
        <v>33</v>
      </c>
      <c r="BN35" s="317" t="s">
        <v>33</v>
      </c>
      <c r="BO35" s="317" t="s">
        <v>33</v>
      </c>
      <c r="BP35" s="317" t="s">
        <v>33</v>
      </c>
      <c r="BQ35" s="317" t="s">
        <v>33</v>
      </c>
      <c r="BR35" s="317" t="s">
        <v>33</v>
      </c>
      <c r="BS35" s="317" t="s">
        <v>33</v>
      </c>
      <c r="BT35" s="317" t="s">
        <v>33</v>
      </c>
      <c r="BU35" s="317" t="s">
        <v>33</v>
      </c>
      <c r="BV35" s="317" t="s">
        <v>33</v>
      </c>
    </row>
    <row r="36" spans="1:74" s="129" customFormat="1" outlineLevel="1" x14ac:dyDescent="0.25">
      <c r="A36" s="13" t="s">
        <v>618</v>
      </c>
      <c r="B36" s="210" t="s">
        <v>621</v>
      </c>
      <c r="C36" s="201" t="s">
        <v>1360</v>
      </c>
      <c r="D36" s="317" t="s">
        <v>33</v>
      </c>
      <c r="E36" s="317" t="s">
        <v>33</v>
      </c>
      <c r="F36" s="317" t="s">
        <v>33</v>
      </c>
      <c r="G36" s="317" t="s">
        <v>33</v>
      </c>
      <c r="H36" s="317" t="s">
        <v>33</v>
      </c>
      <c r="I36" s="317" t="s">
        <v>33</v>
      </c>
      <c r="J36" s="317" t="s">
        <v>33</v>
      </c>
      <c r="K36" s="317" t="s">
        <v>33</v>
      </c>
      <c r="L36" s="317" t="s">
        <v>33</v>
      </c>
      <c r="M36" s="317" t="s">
        <v>33</v>
      </c>
      <c r="N36" s="317" t="s">
        <v>33</v>
      </c>
      <c r="O36" s="317" t="s">
        <v>33</v>
      </c>
      <c r="P36" s="317" t="s">
        <v>33</v>
      </c>
      <c r="Q36" s="317" t="s">
        <v>33</v>
      </c>
      <c r="R36" s="317" t="s">
        <v>33</v>
      </c>
      <c r="S36" s="317" t="s">
        <v>33</v>
      </c>
      <c r="T36" s="317" t="s">
        <v>33</v>
      </c>
      <c r="U36" s="317" t="s">
        <v>33</v>
      </c>
      <c r="V36" s="317" t="s">
        <v>33</v>
      </c>
      <c r="W36" s="317" t="s">
        <v>33</v>
      </c>
      <c r="X36" s="317" t="s">
        <v>33</v>
      </c>
      <c r="Y36" s="317" t="s">
        <v>33</v>
      </c>
      <c r="Z36" s="317" t="s">
        <v>33</v>
      </c>
      <c r="AA36" s="317" t="s">
        <v>33</v>
      </c>
      <c r="AB36" s="317" t="s">
        <v>33</v>
      </c>
      <c r="AC36" s="317" t="s">
        <v>33</v>
      </c>
      <c r="AD36" s="317" t="s">
        <v>33</v>
      </c>
      <c r="AE36" s="317" t="s">
        <v>33</v>
      </c>
      <c r="AF36" s="533" t="s">
        <v>463</v>
      </c>
      <c r="AG36" s="535" t="str">
        <f>'Ф5 2024'!AA36</f>
        <v>нд</v>
      </c>
      <c r="AH36" s="535" t="str">
        <f>'Ф5 2024'!AB36</f>
        <v>нд</v>
      </c>
      <c r="AI36" s="535" t="str">
        <f>'Ф5 2024'!AC36</f>
        <v>нд</v>
      </c>
      <c r="AJ36" s="535" t="str">
        <f>'Ф5 2024'!AD36</f>
        <v>нд</v>
      </c>
      <c r="AK36" s="537">
        <f>Ф4!BF36</f>
        <v>171</v>
      </c>
      <c r="AL36" s="537" t="str">
        <f>'Ф5 2024'!AF36</f>
        <v>нд</v>
      </c>
      <c r="AM36" s="533" t="s">
        <v>33</v>
      </c>
      <c r="AN36" s="533" t="s">
        <v>33</v>
      </c>
      <c r="AO36" s="533" t="s">
        <v>33</v>
      </c>
      <c r="AP36" s="533" t="s">
        <v>33</v>
      </c>
      <c r="AQ36" s="533" t="s">
        <v>33</v>
      </c>
      <c r="AR36" s="533" t="s">
        <v>33</v>
      </c>
      <c r="AS36" s="533" t="s">
        <v>33</v>
      </c>
      <c r="AT36" s="317" t="s">
        <v>33</v>
      </c>
      <c r="AU36" s="317" t="s">
        <v>33</v>
      </c>
      <c r="AV36" s="317" t="s">
        <v>33</v>
      </c>
      <c r="AW36" s="317" t="s">
        <v>33</v>
      </c>
      <c r="AX36" s="317" t="s">
        <v>33</v>
      </c>
      <c r="AY36" s="317" t="s">
        <v>33</v>
      </c>
      <c r="AZ36" s="317" t="s">
        <v>33</v>
      </c>
      <c r="BA36" s="317" t="s">
        <v>33</v>
      </c>
      <c r="BB36" s="317" t="s">
        <v>33</v>
      </c>
      <c r="BC36" s="317" t="s">
        <v>33</v>
      </c>
      <c r="BD36" s="317" t="s">
        <v>33</v>
      </c>
      <c r="BE36" s="317" t="s">
        <v>33</v>
      </c>
      <c r="BF36" s="317" t="s">
        <v>33</v>
      </c>
      <c r="BG36" s="317" t="s">
        <v>33</v>
      </c>
      <c r="BH36" s="317" t="s">
        <v>33</v>
      </c>
      <c r="BI36" s="317" t="s">
        <v>33</v>
      </c>
      <c r="BJ36" s="317" t="s">
        <v>33</v>
      </c>
      <c r="BK36" s="317" t="s">
        <v>33</v>
      </c>
      <c r="BL36" s="317" t="s">
        <v>33</v>
      </c>
      <c r="BM36" s="317" t="s">
        <v>33</v>
      </c>
      <c r="BN36" s="317" t="s">
        <v>33</v>
      </c>
      <c r="BO36" s="317" t="s">
        <v>33</v>
      </c>
      <c r="BP36" s="317" t="s">
        <v>33</v>
      </c>
      <c r="BQ36" s="317" t="s">
        <v>33</v>
      </c>
      <c r="BR36" s="317" t="s">
        <v>33</v>
      </c>
      <c r="BS36" s="317" t="s">
        <v>33</v>
      </c>
      <c r="BT36" s="317" t="s">
        <v>33</v>
      </c>
      <c r="BU36" s="317" t="s">
        <v>33</v>
      </c>
      <c r="BV36" s="317" t="s">
        <v>33</v>
      </c>
    </row>
    <row r="37" spans="1:74" s="129" customFormat="1" ht="31.5" outlineLevel="1" x14ac:dyDescent="0.25">
      <c r="A37" s="13" t="s">
        <v>619</v>
      </c>
      <c r="B37" s="210" t="s">
        <v>1334</v>
      </c>
      <c r="C37" s="201" t="s">
        <v>1341</v>
      </c>
      <c r="D37" s="317" t="s">
        <v>33</v>
      </c>
      <c r="E37" s="317" t="s">
        <v>33</v>
      </c>
      <c r="F37" s="317" t="s">
        <v>33</v>
      </c>
      <c r="G37" s="317" t="s">
        <v>33</v>
      </c>
      <c r="H37" s="317" t="s">
        <v>33</v>
      </c>
      <c r="I37" s="317" t="s">
        <v>33</v>
      </c>
      <c r="J37" s="317" t="s">
        <v>33</v>
      </c>
      <c r="K37" s="317" t="s">
        <v>33</v>
      </c>
      <c r="L37" s="317" t="s">
        <v>33</v>
      </c>
      <c r="M37" s="317" t="s">
        <v>33</v>
      </c>
      <c r="N37" s="317" t="s">
        <v>33</v>
      </c>
      <c r="O37" s="317" t="s">
        <v>33</v>
      </c>
      <c r="P37" s="317" t="s">
        <v>33</v>
      </c>
      <c r="Q37" s="317" t="s">
        <v>33</v>
      </c>
      <c r="R37" s="317" t="s">
        <v>33</v>
      </c>
      <c r="S37" s="317" t="s">
        <v>33</v>
      </c>
      <c r="T37" s="317" t="s">
        <v>33</v>
      </c>
      <c r="U37" s="317" t="s">
        <v>33</v>
      </c>
      <c r="V37" s="317" t="s">
        <v>33</v>
      </c>
      <c r="W37" s="317" t="s">
        <v>33</v>
      </c>
      <c r="X37" s="317" t="s">
        <v>33</v>
      </c>
      <c r="Y37" s="317" t="s">
        <v>33</v>
      </c>
      <c r="Z37" s="317" t="s">
        <v>33</v>
      </c>
      <c r="AA37" s="317" t="s">
        <v>33</v>
      </c>
      <c r="AB37" s="317" t="s">
        <v>33</v>
      </c>
      <c r="AC37" s="317" t="s">
        <v>33</v>
      </c>
      <c r="AD37" s="317" t="s">
        <v>33</v>
      </c>
      <c r="AE37" s="317" t="s">
        <v>33</v>
      </c>
      <c r="AF37" s="533" t="s">
        <v>33</v>
      </c>
      <c r="AG37" s="533" t="s">
        <v>33</v>
      </c>
      <c r="AH37" s="533" t="s">
        <v>33</v>
      </c>
      <c r="AI37" s="533" t="s">
        <v>33</v>
      </c>
      <c r="AJ37" s="533" t="s">
        <v>33</v>
      </c>
      <c r="AK37" s="533" t="s">
        <v>33</v>
      </c>
      <c r="AL37" s="533" t="s">
        <v>33</v>
      </c>
      <c r="AM37" s="533" t="s">
        <v>463</v>
      </c>
      <c r="AN37" s="533" t="s">
        <v>33</v>
      </c>
      <c r="AO37" s="533" t="s">
        <v>33</v>
      </c>
      <c r="AP37" s="533" t="s">
        <v>33</v>
      </c>
      <c r="AQ37" s="533" t="s">
        <v>33</v>
      </c>
      <c r="AR37" s="534">
        <v>1</v>
      </c>
      <c r="AS37" s="533" t="s">
        <v>33</v>
      </c>
      <c r="AT37" s="317" t="s">
        <v>33</v>
      </c>
      <c r="AU37" s="317" t="s">
        <v>33</v>
      </c>
      <c r="AV37" s="317" t="s">
        <v>33</v>
      </c>
      <c r="AW37" s="317" t="s">
        <v>33</v>
      </c>
      <c r="AX37" s="317" t="s">
        <v>33</v>
      </c>
      <c r="AY37" s="317" t="s">
        <v>33</v>
      </c>
      <c r="AZ37" s="317" t="s">
        <v>33</v>
      </c>
      <c r="BA37" s="317" t="s">
        <v>33</v>
      </c>
      <c r="BB37" s="317" t="s">
        <v>33</v>
      </c>
      <c r="BC37" s="317" t="s">
        <v>33</v>
      </c>
      <c r="BD37" s="317" t="s">
        <v>33</v>
      </c>
      <c r="BE37" s="317" t="s">
        <v>33</v>
      </c>
      <c r="BF37" s="317" t="s">
        <v>33</v>
      </c>
      <c r="BG37" s="317" t="s">
        <v>33</v>
      </c>
      <c r="BH37" s="317" t="s">
        <v>33</v>
      </c>
      <c r="BI37" s="317" t="s">
        <v>33</v>
      </c>
      <c r="BJ37" s="317" t="s">
        <v>33</v>
      </c>
      <c r="BK37" s="317" t="s">
        <v>33</v>
      </c>
      <c r="BL37" s="317" t="s">
        <v>33</v>
      </c>
      <c r="BM37" s="317" t="s">
        <v>33</v>
      </c>
      <c r="BN37" s="317" t="s">
        <v>33</v>
      </c>
      <c r="BO37" s="317" t="s">
        <v>33</v>
      </c>
      <c r="BP37" s="317" t="s">
        <v>33</v>
      </c>
      <c r="BQ37" s="317" t="s">
        <v>33</v>
      </c>
      <c r="BR37" s="317" t="s">
        <v>33</v>
      </c>
      <c r="BS37" s="317" t="s">
        <v>33</v>
      </c>
      <c r="BT37" s="317" t="s">
        <v>33</v>
      </c>
      <c r="BU37" s="317" t="s">
        <v>33</v>
      </c>
      <c r="BV37" s="317" t="s">
        <v>33</v>
      </c>
    </row>
    <row r="38" spans="1:74" s="129" customFormat="1" outlineLevel="1" x14ac:dyDescent="0.25">
      <c r="A38" s="13" t="s">
        <v>620</v>
      </c>
      <c r="B38" s="210" t="s">
        <v>621</v>
      </c>
      <c r="C38" s="201" t="s">
        <v>644</v>
      </c>
      <c r="D38" s="317" t="s">
        <v>33</v>
      </c>
      <c r="E38" s="317" t="s">
        <v>33</v>
      </c>
      <c r="F38" s="317" t="s">
        <v>33</v>
      </c>
      <c r="G38" s="317" t="s">
        <v>33</v>
      </c>
      <c r="H38" s="317" t="s">
        <v>33</v>
      </c>
      <c r="I38" s="317" t="s">
        <v>33</v>
      </c>
      <c r="J38" s="317" t="s">
        <v>33</v>
      </c>
      <c r="K38" s="317" t="s">
        <v>33</v>
      </c>
      <c r="L38" s="317" t="s">
        <v>33</v>
      </c>
      <c r="M38" s="317" t="s">
        <v>33</v>
      </c>
      <c r="N38" s="317" t="s">
        <v>33</v>
      </c>
      <c r="O38" s="317" t="s">
        <v>33</v>
      </c>
      <c r="P38" s="317" t="s">
        <v>33</v>
      </c>
      <c r="Q38" s="317" t="s">
        <v>33</v>
      </c>
      <c r="R38" s="317" t="s">
        <v>33</v>
      </c>
      <c r="S38" s="317" t="s">
        <v>33</v>
      </c>
      <c r="T38" s="317" t="s">
        <v>33</v>
      </c>
      <c r="U38" s="317" t="s">
        <v>33</v>
      </c>
      <c r="V38" s="317" t="s">
        <v>33</v>
      </c>
      <c r="W38" s="317" t="s">
        <v>33</v>
      </c>
      <c r="X38" s="317" t="s">
        <v>33</v>
      </c>
      <c r="Y38" s="317" t="s">
        <v>33</v>
      </c>
      <c r="Z38" s="317" t="s">
        <v>33</v>
      </c>
      <c r="AA38" s="317" t="s">
        <v>33</v>
      </c>
      <c r="AB38" s="317" t="s">
        <v>33</v>
      </c>
      <c r="AC38" s="317" t="s">
        <v>33</v>
      </c>
      <c r="AD38" s="317" t="s">
        <v>33</v>
      </c>
      <c r="AE38" s="317" t="s">
        <v>33</v>
      </c>
      <c r="AF38" s="317" t="s">
        <v>33</v>
      </c>
      <c r="AG38" s="317" t="s">
        <v>33</v>
      </c>
      <c r="AH38" s="317" t="s">
        <v>33</v>
      </c>
      <c r="AI38" s="317" t="s">
        <v>33</v>
      </c>
      <c r="AJ38" s="317" t="s">
        <v>33</v>
      </c>
      <c r="AK38" s="317" t="s">
        <v>33</v>
      </c>
      <c r="AL38" s="317" t="s">
        <v>33</v>
      </c>
      <c r="AM38" s="317" t="s">
        <v>33</v>
      </c>
      <c r="AN38" s="317" t="s">
        <v>33</v>
      </c>
      <c r="AO38" s="317" t="s">
        <v>33</v>
      </c>
      <c r="AP38" s="317" t="s">
        <v>33</v>
      </c>
      <c r="AQ38" s="317" t="s">
        <v>33</v>
      </c>
      <c r="AR38" s="317" t="s">
        <v>33</v>
      </c>
      <c r="AS38" s="317" t="s">
        <v>33</v>
      </c>
      <c r="AT38" s="533" t="s">
        <v>463</v>
      </c>
      <c r="AU38" s="535" t="str">
        <f>'Ф5 2025'!AA38</f>
        <v>нд</v>
      </c>
      <c r="AV38" s="535" t="str">
        <f>'Ф5 2025'!AB38</f>
        <v>нд</v>
      </c>
      <c r="AW38" s="535" t="str">
        <f>'Ф5 2025'!AC38</f>
        <v>нд</v>
      </c>
      <c r="AX38" s="535" t="str">
        <f>'Ф5 2025'!AD38</f>
        <v>нд</v>
      </c>
      <c r="AY38" s="537">
        <f>'Ф5 2025'!AE38</f>
        <v>201</v>
      </c>
      <c r="AZ38" s="544" t="s">
        <v>33</v>
      </c>
      <c r="BA38" s="544" t="str">
        <f>AT38</f>
        <v>IV</v>
      </c>
      <c r="BB38" s="544" t="s">
        <v>33</v>
      </c>
      <c r="BC38" s="544" t="s">
        <v>33</v>
      </c>
      <c r="BD38" s="544" t="s">
        <v>33</v>
      </c>
      <c r="BE38" s="544" t="s">
        <v>33</v>
      </c>
      <c r="BF38" s="544">
        <f>AY38</f>
        <v>201</v>
      </c>
      <c r="BG38" s="544" t="s">
        <v>33</v>
      </c>
      <c r="BH38" s="331" t="s">
        <v>33</v>
      </c>
      <c r="BI38" s="331" t="s">
        <v>33</v>
      </c>
      <c r="BJ38" s="331" t="s">
        <v>33</v>
      </c>
      <c r="BK38" s="331" t="s">
        <v>33</v>
      </c>
      <c r="BL38" s="331" t="s">
        <v>33</v>
      </c>
      <c r="BM38" s="331" t="s">
        <v>33</v>
      </c>
      <c r="BN38" s="331" t="s">
        <v>33</v>
      </c>
      <c r="BO38" s="331" t="s">
        <v>33</v>
      </c>
      <c r="BP38" s="331" t="s">
        <v>33</v>
      </c>
      <c r="BQ38" s="331" t="s">
        <v>33</v>
      </c>
      <c r="BR38" s="331" t="s">
        <v>33</v>
      </c>
      <c r="BS38" s="331" t="s">
        <v>33</v>
      </c>
      <c r="BT38" s="331" t="s">
        <v>33</v>
      </c>
      <c r="BU38" s="331" t="s">
        <v>33</v>
      </c>
      <c r="BV38" s="331" t="s">
        <v>33</v>
      </c>
    </row>
    <row r="39" spans="1:74" s="129" customFormat="1" outlineLevel="1" x14ac:dyDescent="0.25">
      <c r="A39" s="13" t="s">
        <v>1339</v>
      </c>
      <c r="B39" s="210" t="s">
        <v>621</v>
      </c>
      <c r="C39" s="201" t="s">
        <v>645</v>
      </c>
      <c r="D39" s="317" t="s">
        <v>33</v>
      </c>
      <c r="E39" s="317" t="s">
        <v>33</v>
      </c>
      <c r="F39" s="317" t="s">
        <v>33</v>
      </c>
      <c r="G39" s="317" t="s">
        <v>33</v>
      </c>
      <c r="H39" s="317" t="s">
        <v>33</v>
      </c>
      <c r="I39" s="317" t="s">
        <v>33</v>
      </c>
      <c r="J39" s="317" t="s">
        <v>33</v>
      </c>
      <c r="K39" s="317" t="s">
        <v>33</v>
      </c>
      <c r="L39" s="317" t="s">
        <v>33</v>
      </c>
      <c r="M39" s="317" t="s">
        <v>33</v>
      </c>
      <c r="N39" s="317" t="s">
        <v>33</v>
      </c>
      <c r="O39" s="317" t="s">
        <v>33</v>
      </c>
      <c r="P39" s="317" t="s">
        <v>33</v>
      </c>
      <c r="Q39" s="317" t="s">
        <v>33</v>
      </c>
      <c r="R39" s="317" t="s">
        <v>33</v>
      </c>
      <c r="S39" s="317" t="s">
        <v>33</v>
      </c>
      <c r="T39" s="317" t="s">
        <v>33</v>
      </c>
      <c r="U39" s="317" t="s">
        <v>33</v>
      </c>
      <c r="V39" s="317" t="s">
        <v>33</v>
      </c>
      <c r="W39" s="317" t="s">
        <v>33</v>
      </c>
      <c r="X39" s="317" t="s">
        <v>33</v>
      </c>
      <c r="Y39" s="317" t="s">
        <v>33</v>
      </c>
      <c r="Z39" s="317" t="s">
        <v>33</v>
      </c>
      <c r="AA39" s="317" t="s">
        <v>33</v>
      </c>
      <c r="AB39" s="317" t="s">
        <v>33</v>
      </c>
      <c r="AC39" s="317" t="s">
        <v>33</v>
      </c>
      <c r="AD39" s="317" t="s">
        <v>33</v>
      </c>
      <c r="AE39" s="317" t="s">
        <v>33</v>
      </c>
      <c r="AF39" s="317" t="s">
        <v>33</v>
      </c>
      <c r="AG39" s="317" t="s">
        <v>33</v>
      </c>
      <c r="AH39" s="317" t="s">
        <v>33</v>
      </c>
      <c r="AI39" s="317" t="s">
        <v>33</v>
      </c>
      <c r="AJ39" s="317" t="s">
        <v>33</v>
      </c>
      <c r="AK39" s="317" t="s">
        <v>33</v>
      </c>
      <c r="AL39" s="317" t="s">
        <v>33</v>
      </c>
      <c r="AM39" s="317" t="s">
        <v>33</v>
      </c>
      <c r="AN39" s="317" t="s">
        <v>33</v>
      </c>
      <c r="AO39" s="317" t="s">
        <v>33</v>
      </c>
      <c r="AP39" s="317" t="s">
        <v>33</v>
      </c>
      <c r="AQ39" s="317" t="s">
        <v>33</v>
      </c>
      <c r="AR39" s="317" t="s">
        <v>33</v>
      </c>
      <c r="AS39" s="317" t="s">
        <v>33</v>
      </c>
      <c r="AT39" s="317" t="s">
        <v>33</v>
      </c>
      <c r="AU39" s="317" t="s">
        <v>33</v>
      </c>
      <c r="AV39" s="317" t="s">
        <v>33</v>
      </c>
      <c r="AW39" s="317" t="s">
        <v>33</v>
      </c>
      <c r="AX39" s="317" t="s">
        <v>33</v>
      </c>
      <c r="AY39" s="317" t="s">
        <v>33</v>
      </c>
      <c r="AZ39" s="317" t="s">
        <v>33</v>
      </c>
      <c r="BA39" s="317" t="s">
        <v>33</v>
      </c>
      <c r="BB39" s="317" t="s">
        <v>33</v>
      </c>
      <c r="BC39" s="317" t="s">
        <v>33</v>
      </c>
      <c r="BD39" s="317" t="s">
        <v>33</v>
      </c>
      <c r="BE39" s="317" t="s">
        <v>33</v>
      </c>
      <c r="BF39" s="317" t="s">
        <v>33</v>
      </c>
      <c r="BG39" s="317" t="s">
        <v>33</v>
      </c>
      <c r="BH39" s="533" t="s">
        <v>463</v>
      </c>
      <c r="BI39" s="535" t="str">
        <f>'Ф5 2026'!AA39</f>
        <v>нд</v>
      </c>
      <c r="BJ39" s="535" t="str">
        <f>'Ф5 2026'!AB39</f>
        <v>нд</v>
      </c>
      <c r="BK39" s="535" t="str">
        <f>'Ф5 2026'!AC39</f>
        <v>нд</v>
      </c>
      <c r="BL39" s="535" t="str">
        <f>'Ф5 2026'!AD39</f>
        <v>нд</v>
      </c>
      <c r="BM39" s="537">
        <f>'Ф5 2026'!AE39</f>
        <v>213</v>
      </c>
      <c r="BN39" s="544" t="s">
        <v>33</v>
      </c>
      <c r="BO39" s="544" t="str">
        <f>BH39</f>
        <v>IV</v>
      </c>
      <c r="BP39" s="544" t="s">
        <v>33</v>
      </c>
      <c r="BQ39" s="544" t="s">
        <v>33</v>
      </c>
      <c r="BR39" s="544" t="s">
        <v>33</v>
      </c>
      <c r="BS39" s="544" t="s">
        <v>33</v>
      </c>
      <c r="BT39" s="544">
        <f>BM39</f>
        <v>213</v>
      </c>
      <c r="BU39" s="544" t="s">
        <v>33</v>
      </c>
      <c r="BV39" s="544" t="s">
        <v>33</v>
      </c>
    </row>
    <row r="40" spans="1:74" s="21" customFormat="1" x14ac:dyDescent="0.25">
      <c r="A40" s="18" t="s">
        <v>466</v>
      </c>
      <c r="B40" s="168" t="s">
        <v>467</v>
      </c>
      <c r="C40" s="314" t="s">
        <v>33</v>
      </c>
      <c r="D40" s="314" t="s">
        <v>33</v>
      </c>
      <c r="E40" s="314" t="s">
        <v>33</v>
      </c>
      <c r="F40" s="314" t="s">
        <v>33</v>
      </c>
      <c r="G40" s="314" t="s">
        <v>33</v>
      </c>
      <c r="H40" s="314" t="s">
        <v>33</v>
      </c>
      <c r="I40" s="314" t="s">
        <v>33</v>
      </c>
      <c r="J40" s="314" t="s">
        <v>33</v>
      </c>
      <c r="K40" s="314" t="s">
        <v>33</v>
      </c>
      <c r="L40" s="314" t="s">
        <v>33</v>
      </c>
      <c r="M40" s="314" t="s">
        <v>33</v>
      </c>
      <c r="N40" s="314" t="s">
        <v>33</v>
      </c>
      <c r="O40" s="314" t="s">
        <v>33</v>
      </c>
      <c r="P40" s="314" t="s">
        <v>33</v>
      </c>
      <c r="Q40" s="314" t="s">
        <v>33</v>
      </c>
      <c r="R40" s="314" t="s">
        <v>33</v>
      </c>
      <c r="S40" s="314" t="s">
        <v>33</v>
      </c>
      <c r="T40" s="314" t="s">
        <v>33</v>
      </c>
      <c r="U40" s="314" t="s">
        <v>33</v>
      </c>
      <c r="V40" s="314" t="s">
        <v>33</v>
      </c>
      <c r="W40" s="314" t="s">
        <v>33</v>
      </c>
      <c r="X40" s="314" t="s">
        <v>33</v>
      </c>
      <c r="Y40" s="314" t="s">
        <v>33</v>
      </c>
      <c r="Z40" s="314" t="s">
        <v>33</v>
      </c>
      <c r="AA40" s="314" t="s">
        <v>33</v>
      </c>
      <c r="AB40" s="314" t="s">
        <v>33</v>
      </c>
      <c r="AC40" s="314" t="s">
        <v>33</v>
      </c>
      <c r="AD40" s="314" t="s">
        <v>33</v>
      </c>
      <c r="AE40" s="314" t="s">
        <v>33</v>
      </c>
      <c r="AF40" s="337" t="str">
        <f>AF41</f>
        <v>IV</v>
      </c>
      <c r="AG40" s="314" t="s">
        <v>33</v>
      </c>
      <c r="AH40" s="314" t="s">
        <v>33</v>
      </c>
      <c r="AI40" s="314" t="s">
        <v>33</v>
      </c>
      <c r="AJ40" s="314" t="s">
        <v>33</v>
      </c>
      <c r="AK40" s="314" t="s">
        <v>33</v>
      </c>
      <c r="AL40" s="543">
        <f t="shared" ref="AL40:AZ40" si="33">SUM(AL41:AL43)</f>
        <v>1</v>
      </c>
      <c r="AM40" s="337" t="str">
        <f>AM41</f>
        <v>IV</v>
      </c>
      <c r="AN40" s="314" t="s">
        <v>33</v>
      </c>
      <c r="AO40" s="314" t="s">
        <v>33</v>
      </c>
      <c r="AP40" s="314" t="s">
        <v>33</v>
      </c>
      <c r="AQ40" s="314" t="s">
        <v>33</v>
      </c>
      <c r="AR40" s="314" t="s">
        <v>33</v>
      </c>
      <c r="AS40" s="543">
        <f t="shared" si="33"/>
        <v>2</v>
      </c>
      <c r="AT40" s="337" t="str">
        <f>AT43</f>
        <v>IV</v>
      </c>
      <c r="AU40" s="314" t="s">
        <v>33</v>
      </c>
      <c r="AV40" s="314" t="s">
        <v>33</v>
      </c>
      <c r="AW40" s="314" t="s">
        <v>33</v>
      </c>
      <c r="AX40" s="314" t="s">
        <v>33</v>
      </c>
      <c r="AY40" s="314" t="s">
        <v>33</v>
      </c>
      <c r="AZ40" s="543">
        <f t="shared" si="33"/>
        <v>1</v>
      </c>
      <c r="BA40" s="337" t="str">
        <f>BA43</f>
        <v>IV</v>
      </c>
      <c r="BB40" s="314" t="s">
        <v>33</v>
      </c>
      <c r="BC40" s="314" t="s">
        <v>33</v>
      </c>
      <c r="BD40" s="314" t="s">
        <v>33</v>
      </c>
      <c r="BE40" s="314" t="s">
        <v>33</v>
      </c>
      <c r="BF40" s="314" t="s">
        <v>33</v>
      </c>
      <c r="BG40" s="543">
        <f t="shared" ref="BG40" si="34">SUM(BG41:BG43)</f>
        <v>1</v>
      </c>
      <c r="BH40" s="314" t="s">
        <v>33</v>
      </c>
      <c r="BI40" s="314" t="s">
        <v>33</v>
      </c>
      <c r="BJ40" s="314" t="s">
        <v>33</v>
      </c>
      <c r="BK40" s="314" t="s">
        <v>33</v>
      </c>
      <c r="BL40" s="314" t="s">
        <v>33</v>
      </c>
      <c r="BM40" s="314" t="s">
        <v>33</v>
      </c>
      <c r="BN40" s="314" t="s">
        <v>33</v>
      </c>
      <c r="BO40" s="314" t="s">
        <v>33</v>
      </c>
      <c r="BP40" s="314" t="s">
        <v>33</v>
      </c>
      <c r="BQ40" s="314" t="s">
        <v>33</v>
      </c>
      <c r="BR40" s="314" t="s">
        <v>33</v>
      </c>
      <c r="BS40" s="314" t="s">
        <v>33</v>
      </c>
      <c r="BT40" s="314" t="s">
        <v>33</v>
      </c>
      <c r="BU40" s="314" t="s">
        <v>33</v>
      </c>
      <c r="BV40" s="314" t="s">
        <v>33</v>
      </c>
    </row>
    <row r="41" spans="1:74" s="189" customFormat="1" x14ac:dyDescent="0.25">
      <c r="A41" s="187" t="s">
        <v>468</v>
      </c>
      <c r="B41" s="399" t="s">
        <v>623</v>
      </c>
      <c r="C41" s="201" t="s">
        <v>1352</v>
      </c>
      <c r="D41" s="316" t="s">
        <v>33</v>
      </c>
      <c r="E41" s="316" t="s">
        <v>33</v>
      </c>
      <c r="F41" s="316" t="s">
        <v>33</v>
      </c>
      <c r="G41" s="316" t="s">
        <v>33</v>
      </c>
      <c r="H41" s="316" t="s">
        <v>33</v>
      </c>
      <c r="I41" s="316" t="s">
        <v>33</v>
      </c>
      <c r="J41" s="316" t="s">
        <v>33</v>
      </c>
      <c r="K41" s="316" t="s">
        <v>33</v>
      </c>
      <c r="L41" s="316" t="s">
        <v>33</v>
      </c>
      <c r="M41" s="316" t="s">
        <v>33</v>
      </c>
      <c r="N41" s="316" t="s">
        <v>33</v>
      </c>
      <c r="O41" s="316" t="s">
        <v>33</v>
      </c>
      <c r="P41" s="316" t="s">
        <v>33</v>
      </c>
      <c r="Q41" s="316" t="s">
        <v>33</v>
      </c>
      <c r="R41" s="316" t="s">
        <v>33</v>
      </c>
      <c r="S41" s="316" t="s">
        <v>33</v>
      </c>
      <c r="T41" s="316" t="s">
        <v>33</v>
      </c>
      <c r="U41" s="316" t="s">
        <v>33</v>
      </c>
      <c r="V41" s="316" t="s">
        <v>33</v>
      </c>
      <c r="W41" s="316" t="s">
        <v>33</v>
      </c>
      <c r="X41" s="316" t="s">
        <v>33</v>
      </c>
      <c r="Y41" s="316" t="s">
        <v>33</v>
      </c>
      <c r="Z41" s="316" t="s">
        <v>33</v>
      </c>
      <c r="AA41" s="316" t="s">
        <v>33</v>
      </c>
      <c r="AB41" s="316" t="s">
        <v>33</v>
      </c>
      <c r="AC41" s="316" t="s">
        <v>33</v>
      </c>
      <c r="AD41" s="316" t="s">
        <v>33</v>
      </c>
      <c r="AE41" s="316" t="s">
        <v>33</v>
      </c>
      <c r="AF41" s="533" t="s">
        <v>463</v>
      </c>
      <c r="AG41" s="538" t="str">
        <f>'Ф5 2024'!AA41</f>
        <v>нд</v>
      </c>
      <c r="AH41" s="538" t="str">
        <f>'Ф5 2024'!AB41</f>
        <v>нд</v>
      </c>
      <c r="AI41" s="538" t="str">
        <f>'Ф5 2024'!AC41</f>
        <v>нд</v>
      </c>
      <c r="AJ41" s="538" t="str">
        <f>'Ф5 2024'!AD41</f>
        <v>нд</v>
      </c>
      <c r="AK41" s="539" t="str">
        <f>'Ф5 2024'!AE41</f>
        <v>нд</v>
      </c>
      <c r="AL41" s="539">
        <f>'Ф5 2024'!AF41</f>
        <v>1</v>
      </c>
      <c r="AM41" s="540" t="str">
        <f>AF41</f>
        <v>IV</v>
      </c>
      <c r="AN41" s="541" t="s">
        <v>33</v>
      </c>
      <c r="AO41" s="541" t="s">
        <v>33</v>
      </c>
      <c r="AP41" s="541" t="s">
        <v>33</v>
      </c>
      <c r="AQ41" s="541" t="s">
        <v>33</v>
      </c>
      <c r="AR41" s="541" t="s">
        <v>33</v>
      </c>
      <c r="AS41" s="542">
        <f>AL41</f>
        <v>1</v>
      </c>
      <c r="AT41" s="316" t="s">
        <v>33</v>
      </c>
      <c r="AU41" s="316" t="s">
        <v>33</v>
      </c>
      <c r="AV41" s="316" t="s">
        <v>33</v>
      </c>
      <c r="AW41" s="316" t="s">
        <v>33</v>
      </c>
      <c r="AX41" s="316" t="s">
        <v>33</v>
      </c>
      <c r="AY41" s="316" t="s">
        <v>33</v>
      </c>
      <c r="AZ41" s="316" t="s">
        <v>33</v>
      </c>
      <c r="BA41" s="316" t="s">
        <v>33</v>
      </c>
      <c r="BB41" s="316" t="s">
        <v>33</v>
      </c>
      <c r="BC41" s="316" t="s">
        <v>33</v>
      </c>
      <c r="BD41" s="316" t="s">
        <v>33</v>
      </c>
      <c r="BE41" s="316" t="s">
        <v>33</v>
      </c>
      <c r="BF41" s="316" t="s">
        <v>33</v>
      </c>
      <c r="BG41" s="316" t="s">
        <v>33</v>
      </c>
      <c r="BH41" s="316" t="s">
        <v>33</v>
      </c>
      <c r="BI41" s="316" t="s">
        <v>33</v>
      </c>
      <c r="BJ41" s="316" t="s">
        <v>33</v>
      </c>
      <c r="BK41" s="316" t="s">
        <v>33</v>
      </c>
      <c r="BL41" s="316" t="s">
        <v>33</v>
      </c>
      <c r="BM41" s="316" t="s">
        <v>33</v>
      </c>
      <c r="BN41" s="316" t="s">
        <v>33</v>
      </c>
      <c r="BO41" s="316" t="s">
        <v>33</v>
      </c>
      <c r="BP41" s="316" t="s">
        <v>33</v>
      </c>
      <c r="BQ41" s="316" t="s">
        <v>33</v>
      </c>
      <c r="BR41" s="316" t="s">
        <v>33</v>
      </c>
      <c r="BS41" s="316" t="s">
        <v>33</v>
      </c>
      <c r="BT41" s="316" t="s">
        <v>33</v>
      </c>
      <c r="BU41" s="316" t="s">
        <v>33</v>
      </c>
      <c r="BV41" s="316" t="s">
        <v>33</v>
      </c>
    </row>
    <row r="42" spans="1:74" s="189" customFormat="1" x14ac:dyDescent="0.25">
      <c r="A42" s="187" t="s">
        <v>622</v>
      </c>
      <c r="B42" s="237" t="s">
        <v>1337</v>
      </c>
      <c r="C42" s="201" t="s">
        <v>1353</v>
      </c>
      <c r="D42" s="316" t="s">
        <v>33</v>
      </c>
      <c r="E42" s="316" t="s">
        <v>33</v>
      </c>
      <c r="F42" s="316" t="s">
        <v>33</v>
      </c>
      <c r="G42" s="316" t="s">
        <v>33</v>
      </c>
      <c r="H42" s="316" t="s">
        <v>33</v>
      </c>
      <c r="I42" s="316" t="s">
        <v>33</v>
      </c>
      <c r="J42" s="316" t="s">
        <v>33</v>
      </c>
      <c r="K42" s="316" t="s">
        <v>33</v>
      </c>
      <c r="L42" s="316" t="s">
        <v>33</v>
      </c>
      <c r="M42" s="316" t="s">
        <v>33</v>
      </c>
      <c r="N42" s="316" t="s">
        <v>33</v>
      </c>
      <c r="O42" s="316" t="s">
        <v>33</v>
      </c>
      <c r="P42" s="316" t="s">
        <v>33</v>
      </c>
      <c r="Q42" s="316" t="s">
        <v>33</v>
      </c>
      <c r="R42" s="316" t="s">
        <v>33</v>
      </c>
      <c r="S42" s="316" t="s">
        <v>33</v>
      </c>
      <c r="T42" s="316" t="s">
        <v>33</v>
      </c>
      <c r="U42" s="316" t="s">
        <v>33</v>
      </c>
      <c r="V42" s="316" t="s">
        <v>33</v>
      </c>
      <c r="W42" s="316" t="s">
        <v>33</v>
      </c>
      <c r="X42" s="316" t="s">
        <v>33</v>
      </c>
      <c r="Y42" s="316" t="s">
        <v>33</v>
      </c>
      <c r="Z42" s="316" t="s">
        <v>33</v>
      </c>
      <c r="AA42" s="316" t="s">
        <v>33</v>
      </c>
      <c r="AB42" s="316" t="s">
        <v>33</v>
      </c>
      <c r="AC42" s="316" t="s">
        <v>33</v>
      </c>
      <c r="AD42" s="316" t="s">
        <v>33</v>
      </c>
      <c r="AE42" s="316" t="s">
        <v>33</v>
      </c>
      <c r="AF42" s="533" t="s">
        <v>33</v>
      </c>
      <c r="AG42" s="533" t="s">
        <v>33</v>
      </c>
      <c r="AH42" s="533" t="s">
        <v>33</v>
      </c>
      <c r="AI42" s="533" t="s">
        <v>33</v>
      </c>
      <c r="AJ42" s="533" t="s">
        <v>33</v>
      </c>
      <c r="AK42" s="533" t="s">
        <v>33</v>
      </c>
      <c r="AL42" s="533" t="s">
        <v>33</v>
      </c>
      <c r="AM42" s="540" t="str">
        <f>AM41</f>
        <v>IV</v>
      </c>
      <c r="AN42" s="541" t="s">
        <v>33</v>
      </c>
      <c r="AO42" s="541" t="s">
        <v>33</v>
      </c>
      <c r="AP42" s="541" t="s">
        <v>33</v>
      </c>
      <c r="AQ42" s="541" t="s">
        <v>33</v>
      </c>
      <c r="AR42" s="541" t="s">
        <v>33</v>
      </c>
      <c r="AS42" s="542">
        <f>AS41</f>
        <v>1</v>
      </c>
      <c r="AT42" s="316" t="s">
        <v>33</v>
      </c>
      <c r="AU42" s="316" t="s">
        <v>33</v>
      </c>
      <c r="AV42" s="316" t="s">
        <v>33</v>
      </c>
      <c r="AW42" s="316" t="s">
        <v>33</v>
      </c>
      <c r="AX42" s="316" t="s">
        <v>33</v>
      </c>
      <c r="AY42" s="316" t="s">
        <v>33</v>
      </c>
      <c r="AZ42" s="316" t="s">
        <v>33</v>
      </c>
      <c r="BA42" s="316" t="s">
        <v>33</v>
      </c>
      <c r="BB42" s="316" t="s">
        <v>33</v>
      </c>
      <c r="BC42" s="316" t="s">
        <v>33</v>
      </c>
      <c r="BD42" s="316" t="s">
        <v>33</v>
      </c>
      <c r="BE42" s="316" t="s">
        <v>33</v>
      </c>
      <c r="BF42" s="316" t="s">
        <v>33</v>
      </c>
      <c r="BG42" s="316" t="s">
        <v>33</v>
      </c>
      <c r="BH42" s="316" t="s">
        <v>33</v>
      </c>
      <c r="BI42" s="316" t="s">
        <v>33</v>
      </c>
      <c r="BJ42" s="316" t="s">
        <v>33</v>
      </c>
      <c r="BK42" s="316" t="s">
        <v>33</v>
      </c>
      <c r="BL42" s="316" t="s">
        <v>33</v>
      </c>
      <c r="BM42" s="316" t="s">
        <v>33</v>
      </c>
      <c r="BN42" s="316" t="s">
        <v>33</v>
      </c>
      <c r="BO42" s="316" t="s">
        <v>33</v>
      </c>
      <c r="BP42" s="316" t="s">
        <v>33</v>
      </c>
      <c r="BQ42" s="316" t="s">
        <v>33</v>
      </c>
      <c r="BR42" s="316" t="s">
        <v>33</v>
      </c>
      <c r="BS42" s="316" t="s">
        <v>33</v>
      </c>
      <c r="BT42" s="316" t="s">
        <v>33</v>
      </c>
      <c r="BU42" s="316" t="s">
        <v>33</v>
      </c>
      <c r="BV42" s="316" t="s">
        <v>33</v>
      </c>
    </row>
    <row r="43" spans="1:74" s="189" customFormat="1" x14ac:dyDescent="0.25">
      <c r="A43" s="187" t="s">
        <v>1335</v>
      </c>
      <c r="B43" s="399" t="s">
        <v>624</v>
      </c>
      <c r="C43" s="201" t="s">
        <v>646</v>
      </c>
      <c r="D43" s="316" t="s">
        <v>33</v>
      </c>
      <c r="E43" s="316" t="s">
        <v>33</v>
      </c>
      <c r="F43" s="316" t="s">
        <v>33</v>
      </c>
      <c r="G43" s="316" t="s">
        <v>33</v>
      </c>
      <c r="H43" s="316" t="s">
        <v>33</v>
      </c>
      <c r="I43" s="316" t="s">
        <v>33</v>
      </c>
      <c r="J43" s="316" t="s">
        <v>33</v>
      </c>
      <c r="K43" s="316" t="s">
        <v>33</v>
      </c>
      <c r="L43" s="316" t="s">
        <v>33</v>
      </c>
      <c r="M43" s="316" t="s">
        <v>33</v>
      </c>
      <c r="N43" s="316" t="s">
        <v>33</v>
      </c>
      <c r="O43" s="316" t="s">
        <v>33</v>
      </c>
      <c r="P43" s="316" t="s">
        <v>33</v>
      </c>
      <c r="Q43" s="316" t="s">
        <v>33</v>
      </c>
      <c r="R43" s="316" t="s">
        <v>33</v>
      </c>
      <c r="S43" s="316" t="s">
        <v>33</v>
      </c>
      <c r="T43" s="316" t="s">
        <v>33</v>
      </c>
      <c r="U43" s="316" t="s">
        <v>33</v>
      </c>
      <c r="V43" s="316" t="s">
        <v>33</v>
      </c>
      <c r="W43" s="316" t="s">
        <v>33</v>
      </c>
      <c r="X43" s="316" t="s">
        <v>33</v>
      </c>
      <c r="Y43" s="316" t="s">
        <v>33</v>
      </c>
      <c r="Z43" s="316" t="s">
        <v>33</v>
      </c>
      <c r="AA43" s="316" t="s">
        <v>33</v>
      </c>
      <c r="AB43" s="316" t="s">
        <v>33</v>
      </c>
      <c r="AC43" s="316" t="s">
        <v>33</v>
      </c>
      <c r="AD43" s="316" t="s">
        <v>33</v>
      </c>
      <c r="AE43" s="316" t="s">
        <v>33</v>
      </c>
      <c r="AF43" s="316" t="s">
        <v>33</v>
      </c>
      <c r="AG43" s="316" t="s">
        <v>33</v>
      </c>
      <c r="AH43" s="316" t="s">
        <v>33</v>
      </c>
      <c r="AI43" s="316" t="s">
        <v>33</v>
      </c>
      <c r="AJ43" s="316" t="s">
        <v>33</v>
      </c>
      <c r="AK43" s="316" t="s">
        <v>33</v>
      </c>
      <c r="AL43" s="316" t="s">
        <v>33</v>
      </c>
      <c r="AM43" s="316" t="s">
        <v>33</v>
      </c>
      <c r="AN43" s="316" t="s">
        <v>33</v>
      </c>
      <c r="AO43" s="316" t="s">
        <v>33</v>
      </c>
      <c r="AP43" s="316" t="s">
        <v>33</v>
      </c>
      <c r="AQ43" s="316" t="s">
        <v>33</v>
      </c>
      <c r="AR43" s="316" t="s">
        <v>33</v>
      </c>
      <c r="AS43" s="316" t="s">
        <v>33</v>
      </c>
      <c r="AT43" s="533" t="s">
        <v>463</v>
      </c>
      <c r="AU43" s="541" t="str">
        <f>'Ф5 2025'!AA43</f>
        <v>нд</v>
      </c>
      <c r="AV43" s="541" t="str">
        <f>'Ф5 2025'!AB43</f>
        <v>нд</v>
      </c>
      <c r="AW43" s="541" t="str">
        <f>'Ф5 2025'!AC43</f>
        <v>нд</v>
      </c>
      <c r="AX43" s="541" t="str">
        <f>'Ф5 2025'!AD43</f>
        <v>нд</v>
      </c>
      <c r="AY43" s="542" t="str">
        <f>'Ф5 2025'!AE43</f>
        <v>нд</v>
      </c>
      <c r="AZ43" s="539">
        <f>'Ф5 2025'!AF43</f>
        <v>1</v>
      </c>
      <c r="BA43" s="540" t="str">
        <f>AT43</f>
        <v>IV</v>
      </c>
      <c r="BB43" s="541" t="s">
        <v>33</v>
      </c>
      <c r="BC43" s="541" t="s">
        <v>33</v>
      </c>
      <c r="BD43" s="541" t="s">
        <v>33</v>
      </c>
      <c r="BE43" s="541" t="s">
        <v>33</v>
      </c>
      <c r="BF43" s="541" t="s">
        <v>33</v>
      </c>
      <c r="BG43" s="542">
        <f>AZ43</f>
        <v>1</v>
      </c>
      <c r="BH43" s="316" t="s">
        <v>33</v>
      </c>
      <c r="BI43" s="316" t="s">
        <v>33</v>
      </c>
      <c r="BJ43" s="316" t="s">
        <v>33</v>
      </c>
      <c r="BK43" s="316" t="s">
        <v>33</v>
      </c>
      <c r="BL43" s="316" t="s">
        <v>33</v>
      </c>
      <c r="BM43" s="316" t="s">
        <v>33</v>
      </c>
      <c r="BN43" s="316" t="s">
        <v>33</v>
      </c>
      <c r="BO43" s="316" t="s">
        <v>33</v>
      </c>
      <c r="BP43" s="316" t="s">
        <v>33</v>
      </c>
      <c r="BQ43" s="316" t="s">
        <v>33</v>
      </c>
      <c r="BR43" s="316" t="s">
        <v>33</v>
      </c>
      <c r="BS43" s="316" t="s">
        <v>33</v>
      </c>
      <c r="BT43" s="316" t="s">
        <v>33</v>
      </c>
      <c r="BU43" s="316" t="s">
        <v>33</v>
      </c>
      <c r="BV43" s="316" t="s">
        <v>33</v>
      </c>
    </row>
    <row r="49" spans="1:24" ht="18.75" x14ac:dyDescent="0.25">
      <c r="B49" s="170" t="s">
        <v>52</v>
      </c>
      <c r="C49" s="171"/>
      <c r="D49" s="171" t="s">
        <v>1325</v>
      </c>
    </row>
    <row r="50" spans="1:24" ht="18.75" x14ac:dyDescent="0.25">
      <c r="B50" s="170"/>
      <c r="C50" s="171"/>
    </row>
    <row r="51" spans="1:24" ht="18.75" x14ac:dyDescent="0.25">
      <c r="B51" s="170"/>
      <c r="C51" s="171"/>
    </row>
    <row r="54" spans="1:24" s="30" customFormat="1" x14ac:dyDescent="0.25">
      <c r="A54" s="633" t="s">
        <v>156</v>
      </c>
      <c r="B54" s="633"/>
      <c r="C54" s="633"/>
      <c r="D54" s="633"/>
      <c r="E54" s="87"/>
      <c r="F54" s="100"/>
      <c r="G54" s="100"/>
      <c r="H54" s="100"/>
      <c r="I54" s="172"/>
      <c r="J54" s="100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</row>
    <row r="55" spans="1:24" s="30" customFormat="1" x14ac:dyDescent="0.25">
      <c r="A55" s="616" t="s">
        <v>157</v>
      </c>
      <c r="B55" s="616"/>
      <c r="C55" s="616"/>
      <c r="D55" s="616"/>
      <c r="E55" s="89"/>
      <c r="F55" s="101"/>
      <c r="G55" s="101"/>
      <c r="H55" s="101"/>
      <c r="I55" s="173"/>
      <c r="J55" s="101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</row>
    <row r="56" spans="1:24" s="30" customFormat="1" x14ac:dyDescent="0.25">
      <c r="A56" s="616" t="s">
        <v>158</v>
      </c>
      <c r="B56" s="616"/>
      <c r="C56" s="616"/>
      <c r="D56" s="616"/>
      <c r="E56" s="89"/>
      <c r="F56" s="101"/>
      <c r="G56" s="101"/>
      <c r="H56" s="101"/>
      <c r="I56" s="173"/>
      <c r="J56" s="101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</row>
    <row r="57" spans="1:24" s="30" customFormat="1" x14ac:dyDescent="0.25">
      <c r="A57" s="616" t="s">
        <v>159</v>
      </c>
      <c r="B57" s="616"/>
      <c r="C57" s="616"/>
      <c r="D57" s="616"/>
      <c r="E57" s="89"/>
      <c r="F57" s="101"/>
      <c r="G57" s="101"/>
      <c r="H57" s="101"/>
      <c r="I57" s="173"/>
      <c r="J57" s="101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</sheetData>
  <mergeCells count="30">
    <mergeCell ref="A54:D54"/>
    <mergeCell ref="A55:D55"/>
    <mergeCell ref="A56:D56"/>
    <mergeCell ref="A57:D57"/>
    <mergeCell ref="A1:BV1"/>
    <mergeCell ref="A3:BV3"/>
    <mergeCell ref="A4:BV4"/>
    <mergeCell ref="A6:BV6"/>
    <mergeCell ref="A9:BV9"/>
    <mergeCell ref="A10:AE10"/>
    <mergeCell ref="A11:A15"/>
    <mergeCell ref="B11:B15"/>
    <mergeCell ref="C11:C15"/>
    <mergeCell ref="AT14:AZ14"/>
    <mergeCell ref="BA14:BG14"/>
    <mergeCell ref="BV11:BV15"/>
    <mergeCell ref="D11:BU11"/>
    <mergeCell ref="D14:J14"/>
    <mergeCell ref="K14:Q14"/>
    <mergeCell ref="R14:X14"/>
    <mergeCell ref="D12:Q13"/>
    <mergeCell ref="R12:AE13"/>
    <mergeCell ref="AT12:BG13"/>
    <mergeCell ref="Y14:AE14"/>
    <mergeCell ref="BH12:BU13"/>
    <mergeCell ref="BH14:BN14"/>
    <mergeCell ref="BO14:BU14"/>
    <mergeCell ref="AF12:AS13"/>
    <mergeCell ref="AF14:AL14"/>
    <mergeCell ref="AM14:AS14"/>
  </mergeCells>
  <pageMargins left="0.7" right="0.7" top="0.75" bottom="0.75" header="0.3" footer="0.3"/>
  <pageSetup paperSize="9" scale="3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DM57"/>
  <sheetViews>
    <sheetView topLeftCell="BP7" zoomScale="70" zoomScaleNormal="70" workbookViewId="0">
      <selection activeCell="CX32" sqref="CX32"/>
    </sheetView>
  </sheetViews>
  <sheetFormatPr defaultColWidth="8.85546875" defaultRowHeight="15.75" outlineLevelRow="1" x14ac:dyDescent="0.25"/>
  <cols>
    <col min="1" max="1" width="10" style="14" customWidth="1"/>
    <col min="2" max="2" width="75.42578125" customWidth="1"/>
    <col min="3" max="3" width="10.5703125" customWidth="1"/>
    <col min="4" max="4" width="8.42578125" bestFit="1" customWidth="1"/>
    <col min="5" max="5" width="5.42578125" style="33" customWidth="1"/>
    <col min="6" max="6" width="9.5703125" style="33" customWidth="1"/>
    <col min="7" max="7" width="6" customWidth="1"/>
    <col min="8" max="8" width="4.7109375" customWidth="1"/>
    <col min="9" max="9" width="5.5703125" customWidth="1"/>
    <col min="10" max="10" width="8.140625" customWidth="1"/>
    <col min="11" max="11" width="5" style="35" customWidth="1"/>
    <col min="12" max="12" width="8.42578125" bestFit="1" customWidth="1"/>
    <col min="13" max="13" width="6.28515625" bestFit="1" customWidth="1"/>
    <col min="14" max="14" width="8.42578125" style="35" bestFit="1" customWidth="1"/>
    <col min="15" max="16" width="8.5703125" bestFit="1" customWidth="1"/>
    <col min="17" max="17" width="5.42578125" customWidth="1"/>
    <col min="18" max="18" width="6.28515625" customWidth="1"/>
    <col min="19" max="19" width="6.140625" customWidth="1"/>
    <col min="20" max="25" width="5.85546875" customWidth="1"/>
    <col min="26" max="26" width="6.28515625" customWidth="1"/>
    <col min="27" max="27" width="5.7109375" customWidth="1"/>
    <col min="28" max="33" width="6" customWidth="1"/>
    <col min="34" max="34" width="6.28515625" customWidth="1"/>
    <col min="35" max="35" width="5.85546875" customWidth="1"/>
    <col min="36" max="36" width="8.42578125" bestFit="1" customWidth="1"/>
    <col min="37" max="37" width="6.28515625" bestFit="1" customWidth="1"/>
    <col min="38" max="38" width="8.5703125" bestFit="1" customWidth="1"/>
    <col min="39" max="39" width="8.28515625" customWidth="1"/>
    <col min="40" max="40" width="6.28515625" bestFit="1" customWidth="1"/>
    <col min="41" max="41" width="9.28515625" customWidth="1"/>
    <col min="42" max="42" width="6.28515625" customWidth="1"/>
    <col min="43" max="43" width="5.85546875" customWidth="1"/>
    <col min="44" max="44" width="10.42578125" customWidth="1"/>
    <col min="45" max="45" width="5.7109375" bestFit="1" customWidth="1"/>
    <col min="46" max="46" width="9.140625" customWidth="1"/>
    <col min="47" max="47" width="7.28515625" bestFit="1" customWidth="1"/>
    <col min="48" max="49" width="5.7109375" bestFit="1" customWidth="1"/>
    <col min="50" max="50" width="6.42578125" customWidth="1"/>
    <col min="51" max="51" width="6.140625" bestFit="1" customWidth="1"/>
    <col min="52" max="53" width="5.7109375" bestFit="1" customWidth="1"/>
    <col min="54" max="54" width="8.140625" customWidth="1"/>
    <col min="55" max="55" width="8.5703125" customWidth="1"/>
    <col min="56" max="56" width="8.42578125" bestFit="1" customWidth="1"/>
    <col min="57" max="57" width="5.7109375" bestFit="1" customWidth="1"/>
    <col min="58" max="58" width="7.140625" customWidth="1"/>
    <col min="59" max="59" width="8.5703125" bestFit="1" customWidth="1"/>
    <col min="60" max="60" width="8.42578125" customWidth="1"/>
    <col min="61" max="61" width="5.85546875" bestFit="1" customWidth="1"/>
    <col min="62" max="63" width="8.5703125" bestFit="1" customWidth="1"/>
    <col min="64" max="64" width="8.42578125" bestFit="1" customWidth="1"/>
    <col min="65" max="65" width="5.7109375" bestFit="1" customWidth="1"/>
    <col min="66" max="66" width="5.7109375" customWidth="1"/>
    <col min="67" max="68" width="8.5703125" bestFit="1" customWidth="1"/>
    <col min="69" max="69" width="5.7109375" bestFit="1" customWidth="1"/>
    <col min="70" max="70" width="8.28515625" customWidth="1"/>
    <col min="71" max="71" width="8.5703125" customWidth="1"/>
    <col min="72" max="72" width="8.42578125" bestFit="1" customWidth="1"/>
    <col min="73" max="73" width="8.140625" customWidth="1"/>
    <col min="74" max="74" width="7.28515625" customWidth="1"/>
    <col min="75" max="75" width="8.5703125" bestFit="1" customWidth="1"/>
    <col min="76" max="76" width="8.42578125" customWidth="1"/>
    <col min="77" max="77" width="5.85546875" bestFit="1" customWidth="1"/>
    <col min="78" max="79" width="8.5703125" bestFit="1" customWidth="1"/>
    <col min="80" max="80" width="8.42578125" bestFit="1" customWidth="1"/>
    <col min="81" max="81" width="5.7109375" bestFit="1" customWidth="1"/>
    <col min="82" max="82" width="6.28515625" customWidth="1"/>
    <col min="83" max="85" width="5.7109375" bestFit="1" customWidth="1"/>
    <col min="86" max="87" width="7.28515625" bestFit="1" customWidth="1"/>
    <col min="88" max="88" width="8.42578125" bestFit="1" customWidth="1"/>
    <col min="89" max="89" width="5.7109375" bestFit="1" customWidth="1"/>
    <col min="90" max="90" width="6.5703125" customWidth="1"/>
    <col min="91" max="91" width="5.7109375" bestFit="1" customWidth="1"/>
    <col min="92" max="92" width="8.42578125" customWidth="1"/>
    <col min="93" max="93" width="5.85546875" bestFit="1" customWidth="1"/>
    <col min="94" max="95" width="8.5703125" bestFit="1" customWidth="1"/>
    <col min="96" max="96" width="8.42578125" bestFit="1" customWidth="1"/>
    <col min="97" max="97" width="5.7109375" bestFit="1" customWidth="1"/>
    <col min="98" max="98" width="6.7109375" customWidth="1"/>
    <col min="99" max="99" width="5.7109375" bestFit="1" customWidth="1"/>
    <col min="100" max="100" width="8.42578125" bestFit="1" customWidth="1"/>
    <col min="101" max="101" width="5.7109375" bestFit="1" customWidth="1"/>
    <col min="102" max="102" width="10.140625" customWidth="1"/>
    <col min="103" max="103" width="7.28515625" customWidth="1"/>
    <col min="104" max="105" width="7" customWidth="1"/>
    <col min="106" max="106" width="8.140625" customWidth="1"/>
    <col min="107" max="107" width="6.5703125" customWidth="1"/>
    <col min="108" max="108" width="8.42578125" bestFit="1" customWidth="1"/>
    <col min="109" max="109" width="5.7109375" bestFit="1" customWidth="1"/>
    <col min="110" max="110" width="9.140625" customWidth="1"/>
    <col min="111" max="111" width="6.7109375" customWidth="1"/>
    <col min="112" max="112" width="8.7109375" bestFit="1" customWidth="1"/>
    <col min="113" max="113" width="5.7109375" bestFit="1" customWidth="1"/>
    <col min="114" max="114" width="6.7109375" customWidth="1"/>
    <col min="115" max="115" width="7.140625" customWidth="1"/>
    <col min="116" max="116" width="11.140625" customWidth="1"/>
  </cols>
  <sheetData>
    <row r="1" spans="1:117" s="30" customFormat="1" x14ac:dyDescent="0.25">
      <c r="A1" s="647" t="s">
        <v>340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</row>
    <row r="2" spans="1:117" s="30" customFormat="1" x14ac:dyDescent="0.25">
      <c r="A2" s="635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105"/>
      <c r="U2" s="105"/>
      <c r="V2" s="105"/>
      <c r="W2" s="105"/>
      <c r="X2" s="105"/>
      <c r="Y2" s="105"/>
      <c r="Z2" s="174"/>
      <c r="AA2" s="105"/>
      <c r="AB2" s="105"/>
      <c r="AC2" s="105"/>
      <c r="AD2" s="105"/>
      <c r="AE2" s="105"/>
      <c r="AF2" s="105"/>
      <c r="AG2" s="105"/>
      <c r="AH2" s="174"/>
      <c r="AI2" s="105"/>
      <c r="AJ2" s="105"/>
      <c r="AK2" s="105"/>
      <c r="AL2" s="105"/>
      <c r="AM2" s="105"/>
      <c r="AN2" s="105"/>
      <c r="AO2" s="105"/>
      <c r="AP2" s="174"/>
      <c r="AQ2" s="105"/>
      <c r="AR2" s="105"/>
      <c r="AS2" s="105"/>
      <c r="AT2" s="105"/>
      <c r="AU2" s="105"/>
      <c r="AV2" s="105"/>
      <c r="AW2" s="105"/>
      <c r="AX2" s="174"/>
      <c r="AY2" s="105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105"/>
      <c r="CG2" s="105"/>
      <c r="CH2" s="105"/>
      <c r="CI2" s="105"/>
      <c r="CJ2" s="105"/>
      <c r="CK2" s="105"/>
      <c r="CL2" s="174"/>
      <c r="CM2" s="105"/>
      <c r="CN2" s="105"/>
      <c r="CO2" s="105"/>
      <c r="CP2" s="105"/>
      <c r="CQ2" s="105"/>
      <c r="CR2" s="105"/>
      <c r="CS2" s="105"/>
      <c r="CT2" s="174"/>
      <c r="CU2" s="105"/>
      <c r="CV2" s="105"/>
      <c r="CW2" s="105"/>
      <c r="CX2" s="105"/>
      <c r="CY2" s="105"/>
      <c r="CZ2" s="105"/>
      <c r="DA2" s="105"/>
      <c r="DB2" s="174"/>
      <c r="DC2" s="105"/>
      <c r="DD2" s="105"/>
      <c r="DE2" s="105"/>
      <c r="DF2" s="105"/>
      <c r="DG2" s="105"/>
      <c r="DH2" s="105"/>
      <c r="DI2" s="105"/>
      <c r="DJ2" s="174"/>
      <c r="DK2" s="105"/>
      <c r="DL2" s="105"/>
    </row>
    <row r="3" spans="1:117" s="30" customFormat="1" ht="18.75" x14ac:dyDescent="0.25">
      <c r="A3" s="599" t="s">
        <v>1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</row>
    <row r="4" spans="1:117" s="30" customFormat="1" x14ac:dyDescent="0.25">
      <c r="A4" s="605" t="s">
        <v>76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</row>
    <row r="5" spans="1:117" s="30" customFormat="1" ht="16.5" x14ac:dyDescent="0.25">
      <c r="A5" s="600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52"/>
      <c r="V5" s="107"/>
      <c r="DK5" s="130"/>
    </row>
    <row r="6" spans="1:117" s="30" customFormat="1" x14ac:dyDescent="0.25">
      <c r="A6" s="600" t="s">
        <v>1372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</row>
    <row r="7" spans="1:117" s="30" customFormat="1" x14ac:dyDescent="0.25">
      <c r="A7" s="426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</row>
    <row r="8" spans="1:117" s="30" customFormat="1" x14ac:dyDescent="0.25">
      <c r="A8" s="547"/>
      <c r="B8" s="528" t="s">
        <v>1346</v>
      </c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  <c r="S8" s="547"/>
    </row>
    <row r="9" spans="1:117" s="30" customFormat="1" x14ac:dyDescent="0.25">
      <c r="A9" s="600" t="s">
        <v>174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</row>
    <row r="10" spans="1:117" s="30" customFormat="1" x14ac:dyDescent="0.25">
      <c r="A10" s="658"/>
      <c r="B10" s="658"/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658"/>
      <c r="AS10" s="658"/>
      <c r="AT10" s="658"/>
      <c r="AU10" s="658"/>
      <c r="AV10" s="658"/>
      <c r="AW10" s="658"/>
      <c r="AX10" s="658"/>
      <c r="AY10" s="658"/>
      <c r="AZ10" s="658"/>
      <c r="BA10" s="658"/>
      <c r="BB10" s="658"/>
      <c r="BC10" s="658"/>
      <c r="BD10" s="658"/>
      <c r="BE10" s="658"/>
      <c r="BF10" s="658"/>
      <c r="BG10" s="658"/>
      <c r="BH10" s="658"/>
      <c r="BI10" s="658"/>
      <c r="BJ10" s="658"/>
      <c r="BK10" s="658"/>
      <c r="BL10" s="658"/>
      <c r="BM10" s="658"/>
      <c r="BN10" s="658"/>
      <c r="BO10" s="658"/>
      <c r="BP10" s="658"/>
      <c r="BQ10" s="658"/>
      <c r="BR10" s="658"/>
      <c r="BS10" s="658"/>
      <c r="BT10" s="658"/>
      <c r="BU10" s="658"/>
      <c r="BV10" s="658"/>
      <c r="BW10" s="658"/>
      <c r="BX10" s="658"/>
      <c r="BY10" s="658"/>
      <c r="BZ10" s="658"/>
      <c r="CA10" s="658"/>
      <c r="CB10" s="658"/>
      <c r="CC10" s="658"/>
      <c r="CD10" s="658"/>
      <c r="CE10" s="658"/>
      <c r="CF10" s="658"/>
      <c r="CG10" s="658"/>
      <c r="CH10" s="658"/>
      <c r="CI10" s="658"/>
      <c r="CJ10" s="658"/>
      <c r="CK10" s="658"/>
      <c r="CL10" s="658"/>
      <c r="CM10" s="658"/>
      <c r="CN10" s="658"/>
      <c r="CO10" s="658"/>
      <c r="CP10" s="658"/>
      <c r="CQ10" s="658"/>
      <c r="CR10" s="658"/>
      <c r="CS10" s="658"/>
      <c r="CT10" s="658"/>
      <c r="CU10" s="658"/>
      <c r="CV10" s="658"/>
      <c r="CW10" s="658"/>
      <c r="CX10" s="658"/>
      <c r="CY10" s="658"/>
      <c r="CZ10" s="658"/>
      <c r="DA10" s="658"/>
      <c r="DB10" s="658"/>
      <c r="DC10" s="658"/>
      <c r="DD10" s="658"/>
      <c r="DE10" s="658"/>
      <c r="DF10" s="658"/>
      <c r="DG10" s="658"/>
      <c r="DH10" s="658"/>
      <c r="DI10" s="658"/>
      <c r="DJ10" s="658"/>
      <c r="DK10" s="658"/>
    </row>
    <row r="11" spans="1:117" s="30" customFormat="1" ht="15.95" customHeight="1" x14ac:dyDescent="0.25">
      <c r="A11" s="651" t="s">
        <v>3</v>
      </c>
      <c r="B11" s="651" t="s">
        <v>4</v>
      </c>
      <c r="C11" s="651" t="s">
        <v>5</v>
      </c>
      <c r="D11" s="620" t="s">
        <v>341</v>
      </c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0"/>
      <c r="S11" s="620"/>
      <c r="T11" s="659" t="s">
        <v>342</v>
      </c>
      <c r="U11" s="659"/>
      <c r="V11" s="659"/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/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/>
      <c r="BY11" s="659"/>
      <c r="BZ11" s="659"/>
      <c r="CA11" s="659"/>
      <c r="CB11" s="659"/>
      <c r="CC11" s="659"/>
      <c r="CD11" s="659"/>
      <c r="CE11" s="659"/>
      <c r="CF11" s="659"/>
      <c r="CG11" s="659"/>
      <c r="CH11" s="659"/>
      <c r="CI11" s="659"/>
      <c r="CJ11" s="659"/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/>
      <c r="CW11" s="659"/>
      <c r="CX11" s="659"/>
      <c r="CY11" s="659"/>
      <c r="CZ11" s="659"/>
      <c r="DA11" s="659"/>
      <c r="DB11" s="659"/>
      <c r="DC11" s="659"/>
      <c r="DD11" s="659"/>
      <c r="DE11" s="659"/>
      <c r="DF11" s="659"/>
      <c r="DG11" s="659"/>
      <c r="DH11" s="659"/>
      <c r="DI11" s="659"/>
      <c r="DJ11" s="659"/>
      <c r="DK11" s="659"/>
      <c r="DL11" s="620" t="s">
        <v>133</v>
      </c>
    </row>
    <row r="12" spans="1:117" s="30" customFormat="1" x14ac:dyDescent="0.25">
      <c r="A12" s="651"/>
      <c r="B12" s="651"/>
      <c r="C12" s="651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50" t="s">
        <v>680</v>
      </c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 t="s">
        <v>681</v>
      </c>
      <c r="AK12" s="650"/>
      <c r="AL12" s="650"/>
      <c r="AM12" s="650"/>
      <c r="AN12" s="650"/>
      <c r="AO12" s="650"/>
      <c r="AP12" s="650"/>
      <c r="AQ12" s="650"/>
      <c r="AR12" s="650"/>
      <c r="AS12" s="650"/>
      <c r="AT12" s="650"/>
      <c r="AU12" s="650"/>
      <c r="AV12" s="650"/>
      <c r="AW12" s="650"/>
      <c r="AX12" s="650"/>
      <c r="AY12" s="650"/>
      <c r="AZ12" s="650" t="s">
        <v>682</v>
      </c>
      <c r="BA12" s="650"/>
      <c r="BB12" s="650"/>
      <c r="BC12" s="650"/>
      <c r="BD12" s="650"/>
      <c r="BE12" s="650"/>
      <c r="BF12" s="650"/>
      <c r="BG12" s="650"/>
      <c r="BH12" s="650"/>
      <c r="BI12" s="650"/>
      <c r="BJ12" s="650"/>
      <c r="BK12" s="650"/>
      <c r="BL12" s="650"/>
      <c r="BM12" s="650"/>
      <c r="BN12" s="650"/>
      <c r="BO12" s="650"/>
      <c r="BP12" s="650" t="s">
        <v>683</v>
      </c>
      <c r="BQ12" s="650"/>
      <c r="BR12" s="650"/>
      <c r="BS12" s="650"/>
      <c r="BT12" s="650"/>
      <c r="BU12" s="650"/>
      <c r="BV12" s="650"/>
      <c r="BW12" s="650"/>
      <c r="BX12" s="650"/>
      <c r="BY12" s="650"/>
      <c r="BZ12" s="650"/>
      <c r="CA12" s="650"/>
      <c r="CB12" s="650"/>
      <c r="CC12" s="650"/>
      <c r="CD12" s="650"/>
      <c r="CE12" s="650"/>
      <c r="CF12" s="650" t="s">
        <v>684</v>
      </c>
      <c r="CG12" s="650"/>
      <c r="CH12" s="650"/>
      <c r="CI12" s="650"/>
      <c r="CJ12" s="650"/>
      <c r="CK12" s="650"/>
      <c r="CL12" s="650"/>
      <c r="CM12" s="650"/>
      <c r="CN12" s="650"/>
      <c r="CO12" s="650"/>
      <c r="CP12" s="650"/>
      <c r="CQ12" s="650"/>
      <c r="CR12" s="650"/>
      <c r="CS12" s="650"/>
      <c r="CT12" s="650"/>
      <c r="CU12" s="650"/>
      <c r="CV12" s="639" t="s">
        <v>343</v>
      </c>
      <c r="CW12" s="639"/>
      <c r="CX12" s="639"/>
      <c r="CY12" s="639"/>
      <c r="CZ12" s="639"/>
      <c r="DA12" s="639"/>
      <c r="DB12" s="639"/>
      <c r="DC12" s="639"/>
      <c r="DD12" s="639"/>
      <c r="DE12" s="639"/>
      <c r="DF12" s="639"/>
      <c r="DG12" s="639"/>
      <c r="DH12" s="639"/>
      <c r="DI12" s="639"/>
      <c r="DJ12" s="639"/>
      <c r="DK12" s="639"/>
      <c r="DL12" s="620"/>
    </row>
    <row r="13" spans="1:117" s="30" customFormat="1" ht="30.75" customHeight="1" x14ac:dyDescent="0.25">
      <c r="A13" s="651"/>
      <c r="B13" s="651"/>
      <c r="C13" s="651"/>
      <c r="D13" s="650" t="s">
        <v>470</v>
      </c>
      <c r="E13" s="650"/>
      <c r="F13" s="650"/>
      <c r="G13" s="650"/>
      <c r="H13" s="650"/>
      <c r="I13" s="650"/>
      <c r="J13" s="650"/>
      <c r="K13" s="650"/>
      <c r="L13" s="651" t="s">
        <v>87</v>
      </c>
      <c r="M13" s="651"/>
      <c r="N13" s="651"/>
      <c r="O13" s="651"/>
      <c r="P13" s="651"/>
      <c r="Q13" s="651"/>
      <c r="R13" s="651"/>
      <c r="S13" s="651"/>
      <c r="T13" s="650" t="s">
        <v>470</v>
      </c>
      <c r="U13" s="650"/>
      <c r="V13" s="650"/>
      <c r="W13" s="650"/>
      <c r="X13" s="650"/>
      <c r="Y13" s="650"/>
      <c r="Z13" s="650"/>
      <c r="AA13" s="650"/>
      <c r="AB13" s="651" t="s">
        <v>87</v>
      </c>
      <c r="AC13" s="651"/>
      <c r="AD13" s="651"/>
      <c r="AE13" s="651"/>
      <c r="AF13" s="651"/>
      <c r="AG13" s="651"/>
      <c r="AH13" s="651"/>
      <c r="AI13" s="651"/>
      <c r="AJ13" s="650" t="s">
        <v>470</v>
      </c>
      <c r="AK13" s="650"/>
      <c r="AL13" s="650"/>
      <c r="AM13" s="650"/>
      <c r="AN13" s="650"/>
      <c r="AO13" s="650"/>
      <c r="AP13" s="650"/>
      <c r="AQ13" s="650"/>
      <c r="AR13" s="651" t="s">
        <v>87</v>
      </c>
      <c r="AS13" s="651"/>
      <c r="AT13" s="651"/>
      <c r="AU13" s="651"/>
      <c r="AV13" s="651"/>
      <c r="AW13" s="651"/>
      <c r="AX13" s="651"/>
      <c r="AY13" s="651"/>
      <c r="AZ13" s="650" t="s">
        <v>470</v>
      </c>
      <c r="BA13" s="650"/>
      <c r="BB13" s="650"/>
      <c r="BC13" s="650"/>
      <c r="BD13" s="650"/>
      <c r="BE13" s="650"/>
      <c r="BF13" s="650"/>
      <c r="BG13" s="650"/>
      <c r="BH13" s="651" t="s">
        <v>87</v>
      </c>
      <c r="BI13" s="651"/>
      <c r="BJ13" s="651"/>
      <c r="BK13" s="651"/>
      <c r="BL13" s="651"/>
      <c r="BM13" s="651"/>
      <c r="BN13" s="651"/>
      <c r="BO13" s="651"/>
      <c r="BP13" s="650" t="s">
        <v>470</v>
      </c>
      <c r="BQ13" s="650"/>
      <c r="BR13" s="650"/>
      <c r="BS13" s="650"/>
      <c r="BT13" s="650"/>
      <c r="BU13" s="650"/>
      <c r="BV13" s="650"/>
      <c r="BW13" s="650"/>
      <c r="BX13" s="651" t="s">
        <v>87</v>
      </c>
      <c r="BY13" s="651"/>
      <c r="BZ13" s="651"/>
      <c r="CA13" s="651"/>
      <c r="CB13" s="651"/>
      <c r="CC13" s="651"/>
      <c r="CD13" s="651"/>
      <c r="CE13" s="651"/>
      <c r="CF13" s="650" t="s">
        <v>470</v>
      </c>
      <c r="CG13" s="650"/>
      <c r="CH13" s="650"/>
      <c r="CI13" s="650"/>
      <c r="CJ13" s="650"/>
      <c r="CK13" s="650"/>
      <c r="CL13" s="650"/>
      <c r="CM13" s="650"/>
      <c r="CN13" s="651" t="s">
        <v>87</v>
      </c>
      <c r="CO13" s="651"/>
      <c r="CP13" s="651"/>
      <c r="CQ13" s="651"/>
      <c r="CR13" s="651"/>
      <c r="CS13" s="651"/>
      <c r="CT13" s="651"/>
      <c r="CU13" s="651"/>
      <c r="CV13" s="650" t="s">
        <v>470</v>
      </c>
      <c r="CW13" s="650"/>
      <c r="CX13" s="650"/>
      <c r="CY13" s="650"/>
      <c r="CZ13" s="650"/>
      <c r="DA13" s="650"/>
      <c r="DB13" s="650"/>
      <c r="DC13" s="650"/>
      <c r="DD13" s="651" t="s">
        <v>87</v>
      </c>
      <c r="DE13" s="651"/>
      <c r="DF13" s="651"/>
      <c r="DG13" s="651"/>
      <c r="DH13" s="651"/>
      <c r="DI13" s="651"/>
      <c r="DJ13" s="651"/>
      <c r="DK13" s="651"/>
      <c r="DL13" s="620"/>
    </row>
    <row r="14" spans="1:117" s="30" customFormat="1" ht="121.5" customHeight="1" x14ac:dyDescent="0.25">
      <c r="A14" s="651"/>
      <c r="B14" s="651"/>
      <c r="C14" s="651"/>
      <c r="D14" s="102" t="s">
        <v>184</v>
      </c>
      <c r="E14" s="102" t="s">
        <v>185</v>
      </c>
      <c r="F14" s="102" t="s">
        <v>344</v>
      </c>
      <c r="G14" s="102" t="s">
        <v>345</v>
      </c>
      <c r="H14" s="102" t="s">
        <v>346</v>
      </c>
      <c r="I14" s="102" t="s">
        <v>187</v>
      </c>
      <c r="J14" s="179" t="s">
        <v>506</v>
      </c>
      <c r="K14" s="179" t="s">
        <v>507</v>
      </c>
      <c r="L14" s="102" t="s">
        <v>184</v>
      </c>
      <c r="M14" s="102" t="s">
        <v>185</v>
      </c>
      <c r="N14" s="102" t="s">
        <v>344</v>
      </c>
      <c r="O14" s="102" t="s">
        <v>345</v>
      </c>
      <c r="P14" s="102" t="s">
        <v>346</v>
      </c>
      <c r="Q14" s="102" t="s">
        <v>187</v>
      </c>
      <c r="R14" s="179" t="s">
        <v>506</v>
      </c>
      <c r="S14" s="179" t="s">
        <v>507</v>
      </c>
      <c r="T14" s="102" t="s">
        <v>184</v>
      </c>
      <c r="U14" s="102" t="s">
        <v>185</v>
      </c>
      <c r="V14" s="102" t="s">
        <v>344</v>
      </c>
      <c r="W14" s="102" t="s">
        <v>345</v>
      </c>
      <c r="X14" s="102" t="s">
        <v>346</v>
      </c>
      <c r="Y14" s="102" t="s">
        <v>187</v>
      </c>
      <c r="Z14" s="179" t="s">
        <v>506</v>
      </c>
      <c r="AA14" s="179" t="s">
        <v>507</v>
      </c>
      <c r="AB14" s="102" t="s">
        <v>184</v>
      </c>
      <c r="AC14" s="102" t="s">
        <v>185</v>
      </c>
      <c r="AD14" s="102" t="s">
        <v>344</v>
      </c>
      <c r="AE14" s="102" t="s">
        <v>345</v>
      </c>
      <c r="AF14" s="102" t="s">
        <v>346</v>
      </c>
      <c r="AG14" s="102" t="s">
        <v>187</v>
      </c>
      <c r="AH14" s="179" t="s">
        <v>506</v>
      </c>
      <c r="AI14" s="179" t="s">
        <v>507</v>
      </c>
      <c r="AJ14" s="102" t="s">
        <v>184</v>
      </c>
      <c r="AK14" s="102" t="s">
        <v>185</v>
      </c>
      <c r="AL14" s="102" t="s">
        <v>344</v>
      </c>
      <c r="AM14" s="102" t="s">
        <v>345</v>
      </c>
      <c r="AN14" s="102" t="s">
        <v>346</v>
      </c>
      <c r="AO14" s="102" t="s">
        <v>187</v>
      </c>
      <c r="AP14" s="179" t="s">
        <v>506</v>
      </c>
      <c r="AQ14" s="179" t="s">
        <v>507</v>
      </c>
      <c r="AR14" s="102" t="s">
        <v>184</v>
      </c>
      <c r="AS14" s="102" t="s">
        <v>185</v>
      </c>
      <c r="AT14" s="102" t="s">
        <v>344</v>
      </c>
      <c r="AU14" s="102" t="s">
        <v>345</v>
      </c>
      <c r="AV14" s="102" t="s">
        <v>346</v>
      </c>
      <c r="AW14" s="102" t="s">
        <v>187</v>
      </c>
      <c r="AX14" s="179" t="s">
        <v>506</v>
      </c>
      <c r="AY14" s="179" t="s">
        <v>507</v>
      </c>
      <c r="AZ14" s="215" t="s">
        <v>184</v>
      </c>
      <c r="BA14" s="215" t="s">
        <v>185</v>
      </c>
      <c r="BB14" s="215" t="s">
        <v>344</v>
      </c>
      <c r="BC14" s="215" t="s">
        <v>345</v>
      </c>
      <c r="BD14" s="215" t="s">
        <v>346</v>
      </c>
      <c r="BE14" s="215" t="s">
        <v>187</v>
      </c>
      <c r="BF14" s="216" t="s">
        <v>506</v>
      </c>
      <c r="BG14" s="216" t="s">
        <v>507</v>
      </c>
      <c r="BH14" s="215" t="s">
        <v>184</v>
      </c>
      <c r="BI14" s="215" t="s">
        <v>185</v>
      </c>
      <c r="BJ14" s="215" t="s">
        <v>344</v>
      </c>
      <c r="BK14" s="215" t="s">
        <v>345</v>
      </c>
      <c r="BL14" s="215" t="s">
        <v>346</v>
      </c>
      <c r="BM14" s="215" t="s">
        <v>187</v>
      </c>
      <c r="BN14" s="216" t="s">
        <v>506</v>
      </c>
      <c r="BO14" s="216" t="s">
        <v>507</v>
      </c>
      <c r="BP14" s="215" t="s">
        <v>184</v>
      </c>
      <c r="BQ14" s="215" t="s">
        <v>185</v>
      </c>
      <c r="BR14" s="215" t="s">
        <v>344</v>
      </c>
      <c r="BS14" s="215" t="s">
        <v>345</v>
      </c>
      <c r="BT14" s="215" t="s">
        <v>346</v>
      </c>
      <c r="BU14" s="215" t="s">
        <v>187</v>
      </c>
      <c r="BV14" s="216" t="s">
        <v>506</v>
      </c>
      <c r="BW14" s="216" t="s">
        <v>507</v>
      </c>
      <c r="BX14" s="215" t="s">
        <v>184</v>
      </c>
      <c r="BY14" s="215" t="s">
        <v>185</v>
      </c>
      <c r="BZ14" s="215" t="s">
        <v>344</v>
      </c>
      <c r="CA14" s="215" t="s">
        <v>345</v>
      </c>
      <c r="CB14" s="215" t="s">
        <v>346</v>
      </c>
      <c r="CC14" s="215" t="s">
        <v>187</v>
      </c>
      <c r="CD14" s="216" t="s">
        <v>506</v>
      </c>
      <c r="CE14" s="216" t="s">
        <v>507</v>
      </c>
      <c r="CF14" s="102" t="s">
        <v>184</v>
      </c>
      <c r="CG14" s="102" t="s">
        <v>185</v>
      </c>
      <c r="CH14" s="102" t="s">
        <v>344</v>
      </c>
      <c r="CI14" s="102" t="s">
        <v>345</v>
      </c>
      <c r="CJ14" s="102" t="s">
        <v>346</v>
      </c>
      <c r="CK14" s="102" t="s">
        <v>187</v>
      </c>
      <c r="CL14" s="179" t="s">
        <v>506</v>
      </c>
      <c r="CM14" s="179" t="s">
        <v>507</v>
      </c>
      <c r="CN14" s="102" t="s">
        <v>184</v>
      </c>
      <c r="CO14" s="102" t="s">
        <v>185</v>
      </c>
      <c r="CP14" s="102" t="s">
        <v>344</v>
      </c>
      <c r="CQ14" s="102" t="s">
        <v>345</v>
      </c>
      <c r="CR14" s="102" t="s">
        <v>346</v>
      </c>
      <c r="CS14" s="102" t="s">
        <v>187</v>
      </c>
      <c r="CT14" s="179" t="s">
        <v>506</v>
      </c>
      <c r="CU14" s="179" t="s">
        <v>507</v>
      </c>
      <c r="CV14" s="102" t="s">
        <v>184</v>
      </c>
      <c r="CW14" s="102" t="s">
        <v>185</v>
      </c>
      <c r="CX14" s="102" t="s">
        <v>344</v>
      </c>
      <c r="CY14" s="102" t="s">
        <v>345</v>
      </c>
      <c r="CZ14" s="102" t="s">
        <v>346</v>
      </c>
      <c r="DA14" s="102" t="s">
        <v>187</v>
      </c>
      <c r="DB14" s="179" t="s">
        <v>506</v>
      </c>
      <c r="DC14" s="179" t="s">
        <v>507</v>
      </c>
      <c r="DD14" s="102" t="s">
        <v>184</v>
      </c>
      <c r="DE14" s="102" t="s">
        <v>185</v>
      </c>
      <c r="DF14" s="102" t="s">
        <v>344</v>
      </c>
      <c r="DG14" s="102" t="s">
        <v>345</v>
      </c>
      <c r="DH14" s="102" t="s">
        <v>346</v>
      </c>
      <c r="DI14" s="102" t="s">
        <v>187</v>
      </c>
      <c r="DJ14" s="179" t="s">
        <v>506</v>
      </c>
      <c r="DK14" s="179" t="s">
        <v>507</v>
      </c>
      <c r="DL14" s="620"/>
    </row>
    <row r="15" spans="1:117" s="30" customFormat="1" x14ac:dyDescent="0.25">
      <c r="A15" s="115">
        <v>1</v>
      </c>
      <c r="B15" s="115">
        <v>2</v>
      </c>
      <c r="C15" s="115">
        <v>3</v>
      </c>
      <c r="D15" s="116" t="s">
        <v>267</v>
      </c>
      <c r="E15" s="116" t="s">
        <v>268</v>
      </c>
      <c r="F15" s="116" t="s">
        <v>269</v>
      </c>
      <c r="G15" s="116" t="s">
        <v>270</v>
      </c>
      <c r="H15" s="116" t="s">
        <v>271</v>
      </c>
      <c r="I15" s="116" t="s">
        <v>272</v>
      </c>
      <c r="J15" s="116" t="s">
        <v>273</v>
      </c>
      <c r="K15" s="116" t="s">
        <v>517</v>
      </c>
      <c r="L15" s="116" t="s">
        <v>274</v>
      </c>
      <c r="M15" s="116" t="s">
        <v>275</v>
      </c>
      <c r="N15" s="116" t="s">
        <v>276</v>
      </c>
      <c r="O15" s="116" t="s">
        <v>277</v>
      </c>
      <c r="P15" s="116" t="s">
        <v>278</v>
      </c>
      <c r="Q15" s="116" t="s">
        <v>279</v>
      </c>
      <c r="R15" s="116" t="s">
        <v>280</v>
      </c>
      <c r="S15" s="116" t="s">
        <v>516</v>
      </c>
      <c r="T15" s="116" t="s">
        <v>189</v>
      </c>
      <c r="U15" s="116" t="s">
        <v>190</v>
      </c>
      <c r="V15" s="116" t="s">
        <v>191</v>
      </c>
      <c r="W15" s="116" t="s">
        <v>192</v>
      </c>
      <c r="X15" s="116" t="s">
        <v>193</v>
      </c>
      <c r="Y15" s="116" t="s">
        <v>194</v>
      </c>
      <c r="Z15" s="116" t="s">
        <v>195</v>
      </c>
      <c r="AA15" s="116" t="s">
        <v>527</v>
      </c>
      <c r="AB15" s="116" t="s">
        <v>196</v>
      </c>
      <c r="AC15" s="116" t="s">
        <v>197</v>
      </c>
      <c r="AD15" s="116" t="s">
        <v>198</v>
      </c>
      <c r="AE15" s="116" t="s">
        <v>199</v>
      </c>
      <c r="AF15" s="116" t="s">
        <v>200</v>
      </c>
      <c r="AG15" s="116" t="s">
        <v>201</v>
      </c>
      <c r="AH15" s="116" t="s">
        <v>202</v>
      </c>
      <c r="AI15" s="116" t="s">
        <v>528</v>
      </c>
      <c r="AJ15" s="116" t="s">
        <v>529</v>
      </c>
      <c r="AK15" s="116" t="s">
        <v>530</v>
      </c>
      <c r="AL15" s="116" t="s">
        <v>531</v>
      </c>
      <c r="AM15" s="116" t="s">
        <v>532</v>
      </c>
      <c r="AN15" s="116" t="s">
        <v>533</v>
      </c>
      <c r="AO15" s="116" t="s">
        <v>534</v>
      </c>
      <c r="AP15" s="116" t="s">
        <v>535</v>
      </c>
      <c r="AQ15" s="116" t="s">
        <v>536</v>
      </c>
      <c r="AR15" s="116" t="s">
        <v>537</v>
      </c>
      <c r="AS15" s="116" t="s">
        <v>538</v>
      </c>
      <c r="AT15" s="116" t="s">
        <v>539</v>
      </c>
      <c r="AU15" s="116" t="s">
        <v>540</v>
      </c>
      <c r="AV15" s="116" t="s">
        <v>541</v>
      </c>
      <c r="AW15" s="116" t="s">
        <v>542</v>
      </c>
      <c r="AX15" s="116" t="s">
        <v>543</v>
      </c>
      <c r="AY15" s="116" t="s">
        <v>544</v>
      </c>
      <c r="AZ15" s="116" t="s">
        <v>545</v>
      </c>
      <c r="BA15" s="116" t="s">
        <v>546</v>
      </c>
      <c r="BB15" s="116" t="s">
        <v>547</v>
      </c>
      <c r="BC15" s="116" t="s">
        <v>548</v>
      </c>
      <c r="BD15" s="116" t="s">
        <v>549</v>
      </c>
      <c r="BE15" s="116" t="s">
        <v>550</v>
      </c>
      <c r="BF15" s="116" t="s">
        <v>551</v>
      </c>
      <c r="BG15" s="116" t="s">
        <v>552</v>
      </c>
      <c r="BH15" s="116" t="s">
        <v>553</v>
      </c>
      <c r="BI15" s="116" t="s">
        <v>554</v>
      </c>
      <c r="BJ15" s="116" t="s">
        <v>555</v>
      </c>
      <c r="BK15" s="116" t="s">
        <v>556</v>
      </c>
      <c r="BL15" s="116" t="s">
        <v>557</v>
      </c>
      <c r="BM15" s="116" t="s">
        <v>558</v>
      </c>
      <c r="BN15" s="116" t="s">
        <v>559</v>
      </c>
      <c r="BO15" s="116" t="s">
        <v>560</v>
      </c>
      <c r="BP15" s="116" t="s">
        <v>545</v>
      </c>
      <c r="BQ15" s="116" t="s">
        <v>546</v>
      </c>
      <c r="BR15" s="116" t="s">
        <v>547</v>
      </c>
      <c r="BS15" s="116" t="s">
        <v>548</v>
      </c>
      <c r="BT15" s="116" t="s">
        <v>549</v>
      </c>
      <c r="BU15" s="116" t="s">
        <v>550</v>
      </c>
      <c r="BV15" s="116" t="s">
        <v>551</v>
      </c>
      <c r="BW15" s="116" t="s">
        <v>552</v>
      </c>
      <c r="BX15" s="116" t="s">
        <v>553</v>
      </c>
      <c r="BY15" s="116" t="s">
        <v>554</v>
      </c>
      <c r="BZ15" s="116" t="s">
        <v>555</v>
      </c>
      <c r="CA15" s="116" t="s">
        <v>556</v>
      </c>
      <c r="CB15" s="116" t="s">
        <v>557</v>
      </c>
      <c r="CC15" s="116" t="s">
        <v>558</v>
      </c>
      <c r="CD15" s="116" t="s">
        <v>559</v>
      </c>
      <c r="CE15" s="116" t="s">
        <v>560</v>
      </c>
      <c r="CF15" s="116" t="s">
        <v>545</v>
      </c>
      <c r="CG15" s="116" t="s">
        <v>546</v>
      </c>
      <c r="CH15" s="116" t="s">
        <v>547</v>
      </c>
      <c r="CI15" s="116" t="s">
        <v>548</v>
      </c>
      <c r="CJ15" s="116" t="s">
        <v>549</v>
      </c>
      <c r="CK15" s="116" t="s">
        <v>550</v>
      </c>
      <c r="CL15" s="116" t="s">
        <v>551</v>
      </c>
      <c r="CM15" s="116" t="s">
        <v>552</v>
      </c>
      <c r="CN15" s="116" t="s">
        <v>553</v>
      </c>
      <c r="CO15" s="116" t="s">
        <v>554</v>
      </c>
      <c r="CP15" s="116" t="s">
        <v>555</v>
      </c>
      <c r="CQ15" s="116" t="s">
        <v>556</v>
      </c>
      <c r="CR15" s="116" t="s">
        <v>557</v>
      </c>
      <c r="CS15" s="116" t="s">
        <v>558</v>
      </c>
      <c r="CT15" s="116" t="s">
        <v>559</v>
      </c>
      <c r="CU15" s="116" t="s">
        <v>560</v>
      </c>
      <c r="CV15" s="116" t="s">
        <v>561</v>
      </c>
      <c r="CW15" s="116" t="s">
        <v>562</v>
      </c>
      <c r="CX15" s="116" t="s">
        <v>563</v>
      </c>
      <c r="CY15" s="116" t="s">
        <v>564</v>
      </c>
      <c r="CZ15" s="116" t="s">
        <v>565</v>
      </c>
      <c r="DA15" s="116" t="s">
        <v>566</v>
      </c>
      <c r="DB15" s="116" t="s">
        <v>567</v>
      </c>
      <c r="DC15" s="116" t="s">
        <v>568</v>
      </c>
      <c r="DD15" s="116" t="s">
        <v>569</v>
      </c>
      <c r="DE15" s="116" t="s">
        <v>570</v>
      </c>
      <c r="DF15" s="116" t="s">
        <v>571</v>
      </c>
      <c r="DG15" s="116" t="s">
        <v>572</v>
      </c>
      <c r="DH15" s="116" t="s">
        <v>573</v>
      </c>
      <c r="DI15" s="116" t="s">
        <v>574</v>
      </c>
      <c r="DJ15" s="116" t="s">
        <v>575</v>
      </c>
      <c r="DK15" s="116" t="s">
        <v>576</v>
      </c>
      <c r="DL15" s="131"/>
    </row>
    <row r="16" spans="1:117" s="120" customFormat="1" x14ac:dyDescent="0.25">
      <c r="A16" s="118" t="s">
        <v>31</v>
      </c>
      <c r="B16" s="38" t="s">
        <v>32</v>
      </c>
      <c r="C16" s="119" t="s">
        <v>33</v>
      </c>
      <c r="D16" s="119">
        <f>D17</f>
        <v>0.91</v>
      </c>
      <c r="E16" s="119" t="str">
        <f t="shared" ref="E16:CF18" si="0">E17</f>
        <v>нд</v>
      </c>
      <c r="F16" s="119">
        <f t="shared" si="0"/>
        <v>7.5830000000000002</v>
      </c>
      <c r="G16" s="119" t="str">
        <f t="shared" si="0"/>
        <v>нд</v>
      </c>
      <c r="H16" s="119" t="str">
        <f t="shared" si="0"/>
        <v>нд</v>
      </c>
      <c r="I16" s="119" t="str">
        <f t="shared" si="0"/>
        <v>нд</v>
      </c>
      <c r="J16" s="182">
        <f t="shared" si="0"/>
        <v>1219</v>
      </c>
      <c r="K16" s="182">
        <f t="shared" si="0"/>
        <v>2</v>
      </c>
      <c r="L16" s="119">
        <f>L17</f>
        <v>0.91</v>
      </c>
      <c r="M16" s="119" t="str">
        <f t="shared" si="0"/>
        <v>нд</v>
      </c>
      <c r="N16" s="119">
        <f t="shared" si="0"/>
        <v>6.9329999999999998</v>
      </c>
      <c r="O16" s="119" t="str">
        <f t="shared" si="0"/>
        <v>нд</v>
      </c>
      <c r="P16" s="119">
        <f t="shared" si="0"/>
        <v>1.68015</v>
      </c>
      <c r="Q16" s="119" t="str">
        <f t="shared" si="0"/>
        <v>нд</v>
      </c>
      <c r="R16" s="182">
        <f t="shared" si="0"/>
        <v>762</v>
      </c>
      <c r="S16" s="182">
        <f t="shared" si="0"/>
        <v>3</v>
      </c>
      <c r="T16" s="119" t="str">
        <f t="shared" si="0"/>
        <v>нд</v>
      </c>
      <c r="U16" s="119" t="str">
        <f t="shared" si="0"/>
        <v>нд</v>
      </c>
      <c r="V16" s="119" t="str">
        <f t="shared" si="0"/>
        <v>нд</v>
      </c>
      <c r="W16" s="119" t="str">
        <f t="shared" si="0"/>
        <v>нд</v>
      </c>
      <c r="X16" s="119" t="str">
        <f t="shared" si="0"/>
        <v>нд</v>
      </c>
      <c r="Y16" s="119" t="str">
        <f t="shared" si="0"/>
        <v>нд</v>
      </c>
      <c r="Z16" s="182">
        <f t="shared" si="0"/>
        <v>347</v>
      </c>
      <c r="AA16" s="119" t="str">
        <f t="shared" si="0"/>
        <v>нд</v>
      </c>
      <c r="AB16" s="119" t="str">
        <f t="shared" si="0"/>
        <v>нд</v>
      </c>
      <c r="AC16" s="119" t="str">
        <f t="shared" si="0"/>
        <v>нд</v>
      </c>
      <c r="AD16" s="119" t="str">
        <f t="shared" si="0"/>
        <v>нд</v>
      </c>
      <c r="AE16" s="119" t="str">
        <f t="shared" si="0"/>
        <v>нд</v>
      </c>
      <c r="AF16" s="119" t="str">
        <f t="shared" si="0"/>
        <v>нд</v>
      </c>
      <c r="AG16" s="119" t="str">
        <f t="shared" si="0"/>
        <v>нд</v>
      </c>
      <c r="AH16" s="182">
        <f t="shared" si="0"/>
        <v>347</v>
      </c>
      <c r="AI16" s="119" t="str">
        <f t="shared" si="0"/>
        <v>нд</v>
      </c>
      <c r="AJ16" s="119">
        <f>AJ17</f>
        <v>0.25</v>
      </c>
      <c r="AK16" s="119" t="str">
        <f t="shared" si="0"/>
        <v>нд</v>
      </c>
      <c r="AL16" s="119">
        <f>AL17</f>
        <v>3.95</v>
      </c>
      <c r="AM16" s="119" t="str">
        <f t="shared" si="0"/>
        <v>нд</v>
      </c>
      <c r="AN16" s="119" t="str">
        <f t="shared" si="0"/>
        <v>нд</v>
      </c>
      <c r="AO16" s="119" t="str">
        <f t="shared" si="0"/>
        <v>нд</v>
      </c>
      <c r="AP16" s="182">
        <f>AP17</f>
        <v>287</v>
      </c>
      <c r="AQ16" s="119" t="str">
        <f t="shared" si="0"/>
        <v>нд</v>
      </c>
      <c r="AR16" s="119">
        <f>AR17</f>
        <v>0.25</v>
      </c>
      <c r="AS16" s="119" t="str">
        <f t="shared" si="0"/>
        <v>нд</v>
      </c>
      <c r="AT16" s="119">
        <f>AT17</f>
        <v>3.3</v>
      </c>
      <c r="AU16" s="119" t="str">
        <f t="shared" si="0"/>
        <v>нд</v>
      </c>
      <c r="AV16" s="119" t="str">
        <f t="shared" si="0"/>
        <v>нд</v>
      </c>
      <c r="AW16" s="119" t="str">
        <f t="shared" si="0"/>
        <v>нд</v>
      </c>
      <c r="AX16" s="119" t="str">
        <f t="shared" si="0"/>
        <v>нд</v>
      </c>
      <c r="AY16" s="119" t="str">
        <f t="shared" si="0"/>
        <v>нд</v>
      </c>
      <c r="AZ16" s="119" t="str">
        <f t="shared" ref="AZ16:AZ18" si="1">AZ17</f>
        <v>нд</v>
      </c>
      <c r="BA16" s="119" t="str">
        <f t="shared" ref="BA16:BA18" si="2">BA17</f>
        <v>нд</v>
      </c>
      <c r="BB16" s="119">
        <f t="shared" ref="BB16:BE17" si="3">BB17</f>
        <v>1.5669999999999999</v>
      </c>
      <c r="BC16" s="119" t="str">
        <f t="shared" si="3"/>
        <v>нд</v>
      </c>
      <c r="BD16" s="119" t="str">
        <f t="shared" si="3"/>
        <v>нд</v>
      </c>
      <c r="BE16" s="119" t="str">
        <f t="shared" si="3"/>
        <v>нд</v>
      </c>
      <c r="BF16" s="182">
        <f t="shared" si="0"/>
        <v>171</v>
      </c>
      <c r="BG16" s="182">
        <f t="shared" ref="BG16:BG18" si="4">BG17</f>
        <v>1</v>
      </c>
      <c r="BH16" s="119" t="str">
        <f t="shared" ref="BH16:BH18" si="5">BH17</f>
        <v>нд</v>
      </c>
      <c r="BI16" s="119" t="str">
        <f t="shared" ref="BI16:BI18" si="6">BI17</f>
        <v>нд</v>
      </c>
      <c r="BJ16" s="119">
        <f t="shared" ref="BJ16:BL18" si="7">BJ17</f>
        <v>1.5669999999999999</v>
      </c>
      <c r="BK16" s="119" t="str">
        <f t="shared" si="7"/>
        <v>нд</v>
      </c>
      <c r="BL16" s="119">
        <f t="shared" si="7"/>
        <v>1.68015</v>
      </c>
      <c r="BM16" s="119" t="str">
        <f t="shared" ref="BM16:BM18" si="8">BM17</f>
        <v>нд</v>
      </c>
      <c r="BN16" s="182">
        <f t="shared" si="0"/>
        <v>1</v>
      </c>
      <c r="BO16" s="182">
        <f t="shared" ref="BN16:BO18" si="9">BO17</f>
        <v>2</v>
      </c>
      <c r="BP16" s="119">
        <f>BP17</f>
        <v>0.66</v>
      </c>
      <c r="BQ16" s="119" t="str">
        <f t="shared" ref="BQ16:BQ18" si="10">BQ17</f>
        <v>нд</v>
      </c>
      <c r="BR16" s="119">
        <f>BR17</f>
        <v>2.0659999999999998</v>
      </c>
      <c r="BS16" s="119" t="str">
        <f t="shared" ref="BS16:BS18" si="11">BS17</f>
        <v>нд</v>
      </c>
      <c r="BT16" s="119" t="str">
        <f t="shared" ref="BT16:BT18" si="12">BT17</f>
        <v>нд</v>
      </c>
      <c r="BU16" s="119" t="str">
        <f t="shared" ref="BU16:BU18" si="13">BU17</f>
        <v>нд</v>
      </c>
      <c r="BV16" s="182">
        <f t="shared" si="0"/>
        <v>201</v>
      </c>
      <c r="BW16" s="182">
        <f t="shared" ref="BW16:BW18" si="14">BW17</f>
        <v>1</v>
      </c>
      <c r="BX16" s="119">
        <f>BX17</f>
        <v>0.66</v>
      </c>
      <c r="BY16" s="119" t="str">
        <f t="shared" ref="BY16:BY18" si="15">BY17</f>
        <v>нд</v>
      </c>
      <c r="BZ16" s="119">
        <f>BZ17</f>
        <v>2.0659999999999998</v>
      </c>
      <c r="CA16" s="119" t="str">
        <f t="shared" ref="CA16:CA18" si="16">CA17</f>
        <v>нд</v>
      </c>
      <c r="CB16" s="119" t="str">
        <f t="shared" ref="CB16:CB18" si="17">CB17</f>
        <v>нд</v>
      </c>
      <c r="CC16" s="119" t="str">
        <f t="shared" ref="CC16:CC18" si="18">CC17</f>
        <v>нд</v>
      </c>
      <c r="CD16" s="182">
        <f t="shared" si="0"/>
        <v>201</v>
      </c>
      <c r="CE16" s="182">
        <f t="shared" ref="CE16" si="19">CE17</f>
        <v>1</v>
      </c>
      <c r="CF16" s="119" t="str">
        <f t="shared" si="0"/>
        <v>нд</v>
      </c>
      <c r="CG16" s="119" t="str">
        <f t="shared" ref="CG16:DL18" si="20">CG17</f>
        <v>нд</v>
      </c>
      <c r="CH16" s="119" t="str">
        <f t="shared" si="20"/>
        <v>нд</v>
      </c>
      <c r="CI16" s="119" t="str">
        <f t="shared" si="20"/>
        <v>нд</v>
      </c>
      <c r="CJ16" s="119" t="str">
        <f t="shared" si="20"/>
        <v>нд</v>
      </c>
      <c r="CK16" s="119" t="str">
        <f t="shared" si="20"/>
        <v>нд</v>
      </c>
      <c r="CL16" s="182">
        <f t="shared" si="20"/>
        <v>213</v>
      </c>
      <c r="CM16" s="119" t="str">
        <f t="shared" si="20"/>
        <v>нд</v>
      </c>
      <c r="CN16" s="119" t="str">
        <f t="shared" si="20"/>
        <v>нд</v>
      </c>
      <c r="CO16" s="119" t="str">
        <f t="shared" si="20"/>
        <v>нд</v>
      </c>
      <c r="CP16" s="119" t="str">
        <f t="shared" si="20"/>
        <v>нд</v>
      </c>
      <c r="CQ16" s="119" t="str">
        <f t="shared" si="20"/>
        <v>нд</v>
      </c>
      <c r="CR16" s="119" t="str">
        <f t="shared" si="20"/>
        <v>нд</v>
      </c>
      <c r="CS16" s="119" t="str">
        <f t="shared" si="20"/>
        <v>нд</v>
      </c>
      <c r="CT16" s="182">
        <f t="shared" si="20"/>
        <v>213</v>
      </c>
      <c r="CU16" s="119" t="str">
        <f t="shared" si="20"/>
        <v>нд</v>
      </c>
      <c r="CV16" s="119">
        <f>CV17</f>
        <v>0.91</v>
      </c>
      <c r="CW16" s="119" t="str">
        <f t="shared" ref="CW16:DK19" si="21">CW17</f>
        <v>нд</v>
      </c>
      <c r="CX16" s="119">
        <f t="shared" si="21"/>
        <v>7.5830000000000002</v>
      </c>
      <c r="CY16" s="119" t="str">
        <f t="shared" si="21"/>
        <v>нд</v>
      </c>
      <c r="CZ16" s="119" t="str">
        <f t="shared" si="21"/>
        <v>нд</v>
      </c>
      <c r="DA16" s="119" t="str">
        <f t="shared" si="21"/>
        <v>нд</v>
      </c>
      <c r="DB16" s="182">
        <f t="shared" si="21"/>
        <v>1219</v>
      </c>
      <c r="DC16" s="182">
        <f t="shared" si="21"/>
        <v>2</v>
      </c>
      <c r="DD16" s="119">
        <f>DD17</f>
        <v>0.91</v>
      </c>
      <c r="DE16" s="119" t="str">
        <f t="shared" si="21"/>
        <v>нд</v>
      </c>
      <c r="DF16" s="119">
        <f t="shared" si="21"/>
        <v>6.9329999999999998</v>
      </c>
      <c r="DG16" s="119" t="str">
        <f t="shared" si="21"/>
        <v>нд</v>
      </c>
      <c r="DH16" s="119">
        <f t="shared" si="21"/>
        <v>1.68015</v>
      </c>
      <c r="DI16" s="119" t="str">
        <f t="shared" si="21"/>
        <v>нд</v>
      </c>
      <c r="DJ16" s="182">
        <f t="shared" si="21"/>
        <v>762</v>
      </c>
      <c r="DK16" s="182">
        <f t="shared" si="21"/>
        <v>3</v>
      </c>
      <c r="DL16" s="119" t="str">
        <f t="shared" si="20"/>
        <v>нд</v>
      </c>
    </row>
    <row r="17" spans="1:116" s="123" customFormat="1" x14ac:dyDescent="0.25">
      <c r="A17" s="121" t="s">
        <v>55</v>
      </c>
      <c r="B17" s="9" t="s">
        <v>34</v>
      </c>
      <c r="C17" s="122" t="s">
        <v>33</v>
      </c>
      <c r="D17" s="122">
        <f>D18</f>
        <v>0.91</v>
      </c>
      <c r="E17" s="122" t="s">
        <v>33</v>
      </c>
      <c r="F17" s="122">
        <f>F18</f>
        <v>7.5830000000000002</v>
      </c>
      <c r="G17" s="122" t="str">
        <f t="shared" si="0"/>
        <v>нд</v>
      </c>
      <c r="H17" s="122" t="str">
        <f t="shared" si="0"/>
        <v>нд</v>
      </c>
      <c r="I17" s="122" t="s">
        <v>33</v>
      </c>
      <c r="J17" s="183">
        <f>J18</f>
        <v>1219</v>
      </c>
      <c r="K17" s="183">
        <f>K39</f>
        <v>2</v>
      </c>
      <c r="L17" s="122">
        <f>L18</f>
        <v>0.91</v>
      </c>
      <c r="M17" s="122" t="s">
        <v>33</v>
      </c>
      <c r="N17" s="122">
        <f>N18</f>
        <v>6.9329999999999998</v>
      </c>
      <c r="O17" s="122" t="str">
        <f>O18</f>
        <v>нд</v>
      </c>
      <c r="P17" s="122">
        <f>P18</f>
        <v>1.68015</v>
      </c>
      <c r="Q17" s="122" t="s">
        <v>33</v>
      </c>
      <c r="R17" s="183">
        <f>R18</f>
        <v>762</v>
      </c>
      <c r="S17" s="183">
        <f>S39</f>
        <v>3</v>
      </c>
      <c r="T17" s="122" t="s">
        <v>33</v>
      </c>
      <c r="U17" s="122" t="s">
        <v>33</v>
      </c>
      <c r="V17" s="122" t="s">
        <v>33</v>
      </c>
      <c r="W17" s="122" t="s">
        <v>33</v>
      </c>
      <c r="X17" s="122" t="s">
        <v>33</v>
      </c>
      <c r="Y17" s="122" t="s">
        <v>33</v>
      </c>
      <c r="Z17" s="183">
        <f>Z18</f>
        <v>347</v>
      </c>
      <c r="AA17" s="122" t="s">
        <v>33</v>
      </c>
      <c r="AB17" s="122" t="s">
        <v>33</v>
      </c>
      <c r="AC17" s="122" t="s">
        <v>33</v>
      </c>
      <c r="AD17" s="122" t="s">
        <v>33</v>
      </c>
      <c r="AE17" s="122" t="s">
        <v>33</v>
      </c>
      <c r="AF17" s="122" t="s">
        <v>33</v>
      </c>
      <c r="AG17" s="122" t="s">
        <v>33</v>
      </c>
      <c r="AH17" s="183">
        <f>AH18</f>
        <v>347</v>
      </c>
      <c r="AI17" s="122" t="s">
        <v>33</v>
      </c>
      <c r="AJ17" s="122">
        <f>AJ18</f>
        <v>0.25</v>
      </c>
      <c r="AK17" s="122" t="s">
        <v>33</v>
      </c>
      <c r="AL17" s="122">
        <f>AL18</f>
        <v>3.95</v>
      </c>
      <c r="AM17" s="122" t="str">
        <f t="shared" si="0"/>
        <v>нд</v>
      </c>
      <c r="AN17" s="122" t="str">
        <f t="shared" si="0"/>
        <v>нд</v>
      </c>
      <c r="AO17" s="122" t="str">
        <f t="shared" si="0"/>
        <v>нд</v>
      </c>
      <c r="AP17" s="183">
        <f>AP18</f>
        <v>287</v>
      </c>
      <c r="AQ17" s="122" t="str">
        <f>AQ39</f>
        <v>нд</v>
      </c>
      <c r="AR17" s="122">
        <f>AR18</f>
        <v>0.25</v>
      </c>
      <c r="AS17" s="122" t="s">
        <v>33</v>
      </c>
      <c r="AT17" s="122">
        <f>AT18</f>
        <v>3.3</v>
      </c>
      <c r="AU17" s="122" t="s">
        <v>33</v>
      </c>
      <c r="AV17" s="122" t="s">
        <v>33</v>
      </c>
      <c r="AW17" s="122" t="s">
        <v>33</v>
      </c>
      <c r="AX17" s="122" t="s">
        <v>33</v>
      </c>
      <c r="AY17" s="122" t="s">
        <v>33</v>
      </c>
      <c r="AZ17" s="122" t="s">
        <v>33</v>
      </c>
      <c r="BA17" s="122" t="s">
        <v>33</v>
      </c>
      <c r="BB17" s="122">
        <f>BB18</f>
        <v>1.5669999999999999</v>
      </c>
      <c r="BC17" s="122" t="str">
        <f>BC18</f>
        <v>нд</v>
      </c>
      <c r="BD17" s="122" t="str">
        <f t="shared" si="3"/>
        <v>нд</v>
      </c>
      <c r="BE17" s="122" t="str">
        <f t="shared" si="3"/>
        <v>нд</v>
      </c>
      <c r="BF17" s="183">
        <f>BF18</f>
        <v>171</v>
      </c>
      <c r="BG17" s="183">
        <f>BG39</f>
        <v>1</v>
      </c>
      <c r="BH17" s="122" t="s">
        <v>33</v>
      </c>
      <c r="BI17" s="122" t="s">
        <v>33</v>
      </c>
      <c r="BJ17" s="122">
        <f>BJ18</f>
        <v>1.5669999999999999</v>
      </c>
      <c r="BK17" s="122" t="s">
        <v>33</v>
      </c>
      <c r="BL17" s="122">
        <f>BL18</f>
        <v>1.68015</v>
      </c>
      <c r="BM17" s="122" t="s">
        <v>33</v>
      </c>
      <c r="BN17" s="183">
        <f>BN31</f>
        <v>1</v>
      </c>
      <c r="BO17" s="183">
        <f>BO39</f>
        <v>2</v>
      </c>
      <c r="BP17" s="122">
        <f>BP18</f>
        <v>0.66</v>
      </c>
      <c r="BQ17" s="122" t="s">
        <v>33</v>
      </c>
      <c r="BR17" s="122">
        <f>BR18</f>
        <v>2.0659999999999998</v>
      </c>
      <c r="BS17" s="122" t="s">
        <v>33</v>
      </c>
      <c r="BT17" s="122" t="s">
        <v>33</v>
      </c>
      <c r="BU17" s="122" t="s">
        <v>33</v>
      </c>
      <c r="BV17" s="183">
        <f>BV18</f>
        <v>201</v>
      </c>
      <c r="BW17" s="183">
        <f>BW39</f>
        <v>1</v>
      </c>
      <c r="BX17" s="122">
        <f>BX18</f>
        <v>0.66</v>
      </c>
      <c r="BY17" s="122" t="s">
        <v>33</v>
      </c>
      <c r="BZ17" s="122">
        <f>BZ18</f>
        <v>2.0659999999999998</v>
      </c>
      <c r="CA17" s="122" t="s">
        <v>33</v>
      </c>
      <c r="CB17" s="122" t="s">
        <v>33</v>
      </c>
      <c r="CC17" s="122" t="s">
        <v>33</v>
      </c>
      <c r="CD17" s="183">
        <f>CD18</f>
        <v>201</v>
      </c>
      <c r="CE17" s="183">
        <f>CE39</f>
        <v>1</v>
      </c>
      <c r="CF17" s="122" t="s">
        <v>33</v>
      </c>
      <c r="CG17" s="122" t="s">
        <v>33</v>
      </c>
      <c r="CH17" s="122" t="s">
        <v>33</v>
      </c>
      <c r="CI17" s="122" t="s">
        <v>33</v>
      </c>
      <c r="CJ17" s="122" t="s">
        <v>33</v>
      </c>
      <c r="CK17" s="122" t="s">
        <v>33</v>
      </c>
      <c r="CL17" s="183">
        <f>CL18</f>
        <v>213</v>
      </c>
      <c r="CM17" s="122" t="s">
        <v>33</v>
      </c>
      <c r="CN17" s="122" t="s">
        <v>33</v>
      </c>
      <c r="CO17" s="122" t="s">
        <v>33</v>
      </c>
      <c r="CP17" s="122" t="s">
        <v>33</v>
      </c>
      <c r="CQ17" s="122" t="s">
        <v>33</v>
      </c>
      <c r="CR17" s="122" t="s">
        <v>33</v>
      </c>
      <c r="CS17" s="122" t="s">
        <v>33</v>
      </c>
      <c r="CT17" s="183">
        <f>CT18</f>
        <v>213</v>
      </c>
      <c r="CU17" s="122" t="s">
        <v>33</v>
      </c>
      <c r="CV17" s="122">
        <f>CV18</f>
        <v>0.91</v>
      </c>
      <c r="CW17" s="122" t="s">
        <v>33</v>
      </c>
      <c r="CX17" s="122">
        <f>CX18</f>
        <v>7.5830000000000002</v>
      </c>
      <c r="CY17" s="122" t="str">
        <f t="shared" si="21"/>
        <v>нд</v>
      </c>
      <c r="CZ17" s="122" t="str">
        <f t="shared" si="21"/>
        <v>нд</v>
      </c>
      <c r="DA17" s="122" t="s">
        <v>33</v>
      </c>
      <c r="DB17" s="183">
        <f>DB18</f>
        <v>1219</v>
      </c>
      <c r="DC17" s="183">
        <f>DC39</f>
        <v>2</v>
      </c>
      <c r="DD17" s="122">
        <f>DD18</f>
        <v>0.91</v>
      </c>
      <c r="DE17" s="122" t="s">
        <v>33</v>
      </c>
      <c r="DF17" s="122">
        <f>DF18</f>
        <v>6.9329999999999998</v>
      </c>
      <c r="DG17" s="122" t="str">
        <f>DG18</f>
        <v>нд</v>
      </c>
      <c r="DH17" s="122">
        <f>DH18</f>
        <v>1.68015</v>
      </c>
      <c r="DI17" s="122" t="s">
        <v>33</v>
      </c>
      <c r="DJ17" s="183">
        <f>DJ18</f>
        <v>762</v>
      </c>
      <c r="DK17" s="183">
        <f>DK39</f>
        <v>3</v>
      </c>
      <c r="DL17" s="122" t="s">
        <v>33</v>
      </c>
    </row>
    <row r="18" spans="1:116" s="123" customFormat="1" ht="31.5" x14ac:dyDescent="0.25">
      <c r="A18" s="118" t="s">
        <v>36</v>
      </c>
      <c r="B18" s="38" t="s">
        <v>37</v>
      </c>
      <c r="C18" s="119" t="str">
        <f>C19</f>
        <v>нд</v>
      </c>
      <c r="D18" s="119">
        <f>D19+D24</f>
        <v>0.91</v>
      </c>
      <c r="E18" s="119" t="str">
        <f t="shared" si="0"/>
        <v>нд</v>
      </c>
      <c r="F18" s="119">
        <f>F24</f>
        <v>7.5830000000000002</v>
      </c>
      <c r="G18" s="119" t="str">
        <f t="shared" ref="G18:H18" si="22">G24</f>
        <v>нд</v>
      </c>
      <c r="H18" s="119" t="str">
        <f t="shared" si="22"/>
        <v>нд</v>
      </c>
      <c r="I18" s="119" t="str">
        <f t="shared" si="0"/>
        <v>нд</v>
      </c>
      <c r="J18" s="182">
        <f>J31</f>
        <v>1219</v>
      </c>
      <c r="K18" s="182" t="str">
        <f t="shared" si="0"/>
        <v>нд</v>
      </c>
      <c r="L18" s="119">
        <f>L19+L24</f>
        <v>0.91</v>
      </c>
      <c r="M18" s="119" t="str">
        <f t="shared" si="0"/>
        <v>нд</v>
      </c>
      <c r="N18" s="119">
        <f>N24</f>
        <v>6.9329999999999998</v>
      </c>
      <c r="O18" s="119" t="str">
        <f>O24</f>
        <v>нд</v>
      </c>
      <c r="P18" s="119">
        <f>P24</f>
        <v>1.68015</v>
      </c>
      <c r="Q18" s="119" t="str">
        <f t="shared" si="0"/>
        <v>нд</v>
      </c>
      <c r="R18" s="182">
        <f>R31</f>
        <v>762</v>
      </c>
      <c r="S18" s="119" t="str">
        <f t="shared" si="0"/>
        <v>нд</v>
      </c>
      <c r="T18" s="119" t="str">
        <f t="shared" si="0"/>
        <v>нд</v>
      </c>
      <c r="U18" s="119" t="str">
        <f t="shared" si="0"/>
        <v>нд</v>
      </c>
      <c r="V18" s="119" t="str">
        <f t="shared" si="0"/>
        <v>нд</v>
      </c>
      <c r="W18" s="119" t="str">
        <f t="shared" si="0"/>
        <v>нд</v>
      </c>
      <c r="X18" s="119" t="str">
        <f t="shared" si="0"/>
        <v>нд</v>
      </c>
      <c r="Y18" s="119" t="str">
        <f t="shared" si="0"/>
        <v>нд</v>
      </c>
      <c r="Z18" s="182">
        <f>Z31</f>
        <v>347</v>
      </c>
      <c r="AA18" s="119" t="str">
        <f t="shared" si="0"/>
        <v>нд</v>
      </c>
      <c r="AB18" s="119" t="str">
        <f t="shared" si="0"/>
        <v>нд</v>
      </c>
      <c r="AC18" s="119" t="str">
        <f t="shared" si="0"/>
        <v>нд</v>
      </c>
      <c r="AD18" s="119" t="str">
        <f t="shared" si="0"/>
        <v>нд</v>
      </c>
      <c r="AE18" s="119" t="str">
        <f t="shared" si="0"/>
        <v>нд</v>
      </c>
      <c r="AF18" s="119" t="str">
        <f t="shared" si="0"/>
        <v>нд</v>
      </c>
      <c r="AG18" s="119" t="str">
        <f t="shared" si="0"/>
        <v>нд</v>
      </c>
      <c r="AH18" s="182">
        <f>AH31</f>
        <v>347</v>
      </c>
      <c r="AI18" s="119" t="str">
        <f t="shared" si="0"/>
        <v>нд</v>
      </c>
      <c r="AJ18" s="119">
        <f>AJ24</f>
        <v>0.25</v>
      </c>
      <c r="AK18" s="119" t="str">
        <f t="shared" si="0"/>
        <v>нд</v>
      </c>
      <c r="AL18" s="119">
        <f>AL24</f>
        <v>3.95</v>
      </c>
      <c r="AM18" s="119" t="str">
        <f t="shared" si="0"/>
        <v>нд</v>
      </c>
      <c r="AN18" s="119" t="str">
        <f t="shared" si="0"/>
        <v>нд</v>
      </c>
      <c r="AO18" s="119" t="str">
        <f t="shared" si="0"/>
        <v>нд</v>
      </c>
      <c r="AP18" s="182">
        <f>AP31</f>
        <v>287</v>
      </c>
      <c r="AQ18" s="119" t="str">
        <f t="shared" si="0"/>
        <v>нд</v>
      </c>
      <c r="AR18" s="119">
        <f>AR24</f>
        <v>0.25</v>
      </c>
      <c r="AS18" s="119" t="str">
        <f t="shared" si="0"/>
        <v>нд</v>
      </c>
      <c r="AT18" s="119">
        <f>AT24</f>
        <v>3.3</v>
      </c>
      <c r="AU18" s="119" t="str">
        <f t="shared" si="0"/>
        <v>нд</v>
      </c>
      <c r="AV18" s="119" t="str">
        <f t="shared" si="0"/>
        <v>нд</v>
      </c>
      <c r="AW18" s="119" t="str">
        <f t="shared" si="0"/>
        <v>нд</v>
      </c>
      <c r="AX18" s="119" t="str">
        <f t="shared" si="0"/>
        <v>нд</v>
      </c>
      <c r="AY18" s="119" t="str">
        <f t="shared" si="0"/>
        <v>нд</v>
      </c>
      <c r="AZ18" s="119" t="str">
        <f t="shared" si="1"/>
        <v>нд</v>
      </c>
      <c r="BA18" s="119" t="str">
        <f t="shared" si="2"/>
        <v>нд</v>
      </c>
      <c r="BB18" s="119">
        <f>BB24</f>
        <v>1.5669999999999999</v>
      </c>
      <c r="BC18" s="119" t="str">
        <f>BC24</f>
        <v>нд</v>
      </c>
      <c r="BD18" s="119" t="str">
        <f t="shared" ref="BD18:BE18" si="23">BD24</f>
        <v>нд</v>
      </c>
      <c r="BE18" s="119" t="str">
        <f t="shared" si="23"/>
        <v>нд</v>
      </c>
      <c r="BF18" s="182">
        <f>BF31</f>
        <v>171</v>
      </c>
      <c r="BG18" s="332" t="str">
        <f t="shared" si="4"/>
        <v>нд</v>
      </c>
      <c r="BH18" s="119" t="str">
        <f t="shared" si="5"/>
        <v>нд</v>
      </c>
      <c r="BI18" s="119" t="str">
        <f t="shared" si="6"/>
        <v>нд</v>
      </c>
      <c r="BJ18" s="119">
        <f>BJ24</f>
        <v>1.5669999999999999</v>
      </c>
      <c r="BK18" s="119" t="str">
        <f t="shared" si="7"/>
        <v>нд</v>
      </c>
      <c r="BL18" s="119">
        <f>BL24</f>
        <v>1.68015</v>
      </c>
      <c r="BM18" s="119" t="str">
        <f t="shared" si="8"/>
        <v>нд</v>
      </c>
      <c r="BN18" s="119" t="str">
        <f t="shared" si="9"/>
        <v>нд</v>
      </c>
      <c r="BO18" s="119" t="str">
        <f t="shared" ref="BO18" si="24">BO19</f>
        <v>нд</v>
      </c>
      <c r="BP18" s="119">
        <f>BP19+BP24</f>
        <v>0.66</v>
      </c>
      <c r="BQ18" s="119" t="str">
        <f t="shared" si="10"/>
        <v>нд</v>
      </c>
      <c r="BR18" s="119">
        <f>BR24</f>
        <v>2.0659999999999998</v>
      </c>
      <c r="BS18" s="119" t="str">
        <f t="shared" si="11"/>
        <v>нд</v>
      </c>
      <c r="BT18" s="119" t="str">
        <f t="shared" si="12"/>
        <v>нд</v>
      </c>
      <c r="BU18" s="119" t="str">
        <f t="shared" si="13"/>
        <v>нд</v>
      </c>
      <c r="BV18" s="182">
        <f>BV31</f>
        <v>201</v>
      </c>
      <c r="BW18" s="182" t="str">
        <f t="shared" si="14"/>
        <v>нд</v>
      </c>
      <c r="BX18" s="119">
        <f>BX19+BX24</f>
        <v>0.66</v>
      </c>
      <c r="BY18" s="119" t="str">
        <f t="shared" si="15"/>
        <v>нд</v>
      </c>
      <c r="BZ18" s="119">
        <f>BZ24</f>
        <v>2.0659999999999998</v>
      </c>
      <c r="CA18" s="119" t="str">
        <f t="shared" si="16"/>
        <v>нд</v>
      </c>
      <c r="CB18" s="119" t="str">
        <f t="shared" si="17"/>
        <v>нд</v>
      </c>
      <c r="CC18" s="119" t="str">
        <f t="shared" si="18"/>
        <v>нд</v>
      </c>
      <c r="CD18" s="182">
        <f>CD31</f>
        <v>201</v>
      </c>
      <c r="CE18" s="119" t="str">
        <f t="shared" ref="CE18" si="25">CE19</f>
        <v>нд</v>
      </c>
      <c r="CF18" s="119" t="str">
        <f t="shared" si="0"/>
        <v>нд</v>
      </c>
      <c r="CG18" s="119" t="str">
        <f t="shared" si="20"/>
        <v>нд</v>
      </c>
      <c r="CH18" s="119" t="str">
        <f t="shared" si="20"/>
        <v>нд</v>
      </c>
      <c r="CI18" s="119" t="str">
        <f t="shared" si="20"/>
        <v>нд</v>
      </c>
      <c r="CJ18" s="119" t="str">
        <f t="shared" si="20"/>
        <v>нд</v>
      </c>
      <c r="CK18" s="119" t="str">
        <f t="shared" si="20"/>
        <v>нд</v>
      </c>
      <c r="CL18" s="182">
        <f>CL31</f>
        <v>213</v>
      </c>
      <c r="CM18" s="119" t="str">
        <f t="shared" si="20"/>
        <v>нд</v>
      </c>
      <c r="CN18" s="119" t="str">
        <f t="shared" si="20"/>
        <v>нд</v>
      </c>
      <c r="CO18" s="119" t="str">
        <f t="shared" si="20"/>
        <v>нд</v>
      </c>
      <c r="CP18" s="119" t="str">
        <f t="shared" si="20"/>
        <v>нд</v>
      </c>
      <c r="CQ18" s="119" t="str">
        <f t="shared" si="20"/>
        <v>нд</v>
      </c>
      <c r="CR18" s="119" t="str">
        <f t="shared" si="20"/>
        <v>нд</v>
      </c>
      <c r="CS18" s="119" t="str">
        <f t="shared" si="20"/>
        <v>нд</v>
      </c>
      <c r="CT18" s="182">
        <f>CT31</f>
        <v>213</v>
      </c>
      <c r="CU18" s="119" t="str">
        <f t="shared" si="20"/>
        <v>нд</v>
      </c>
      <c r="CV18" s="119">
        <f>CV19+CV24</f>
        <v>0.91</v>
      </c>
      <c r="CW18" s="119" t="str">
        <f t="shared" si="21"/>
        <v>нд</v>
      </c>
      <c r="CX18" s="119">
        <f>CX24</f>
        <v>7.5830000000000002</v>
      </c>
      <c r="CY18" s="119" t="str">
        <f t="shared" ref="CY18:CZ18" si="26">CY24</f>
        <v>нд</v>
      </c>
      <c r="CZ18" s="119" t="str">
        <f t="shared" si="26"/>
        <v>нд</v>
      </c>
      <c r="DA18" s="119" t="str">
        <f t="shared" si="21"/>
        <v>нд</v>
      </c>
      <c r="DB18" s="182">
        <f>DB31</f>
        <v>1219</v>
      </c>
      <c r="DC18" s="182" t="str">
        <f t="shared" si="21"/>
        <v>нд</v>
      </c>
      <c r="DD18" s="119">
        <f>DD19+DD24</f>
        <v>0.91</v>
      </c>
      <c r="DE18" s="119" t="str">
        <f t="shared" si="21"/>
        <v>нд</v>
      </c>
      <c r="DF18" s="119">
        <f>DF24</f>
        <v>6.9329999999999998</v>
      </c>
      <c r="DG18" s="119" t="str">
        <f>DG24</f>
        <v>нд</v>
      </c>
      <c r="DH18" s="119">
        <f>DH24</f>
        <v>1.68015</v>
      </c>
      <c r="DI18" s="119" t="str">
        <f t="shared" si="21"/>
        <v>нд</v>
      </c>
      <c r="DJ18" s="182">
        <f>DJ31</f>
        <v>762</v>
      </c>
      <c r="DK18" s="119" t="str">
        <f t="shared" si="21"/>
        <v>нд</v>
      </c>
      <c r="DL18" s="119" t="str">
        <f t="shared" si="20"/>
        <v>нд</v>
      </c>
    </row>
    <row r="19" spans="1:116" s="126" customFormat="1" ht="47.25" x14ac:dyDescent="0.25">
      <c r="A19" s="124" t="s">
        <v>53</v>
      </c>
      <c r="B19" s="39" t="s">
        <v>54</v>
      </c>
      <c r="C19" s="125" t="str">
        <f>C20</f>
        <v>нд</v>
      </c>
      <c r="D19" s="125">
        <f>D20</f>
        <v>0.5</v>
      </c>
      <c r="E19" s="125" t="str">
        <f t="shared" ref="E19:H19" si="27">E20</f>
        <v>нд</v>
      </c>
      <c r="F19" s="125" t="str">
        <f t="shared" si="27"/>
        <v>нд</v>
      </c>
      <c r="G19" s="125" t="str">
        <f t="shared" si="27"/>
        <v>нд</v>
      </c>
      <c r="H19" s="125" t="str">
        <f t="shared" si="27"/>
        <v>нд</v>
      </c>
      <c r="I19" s="125" t="str">
        <f t="shared" ref="I19:CF19" si="28">I20</f>
        <v>нд</v>
      </c>
      <c r="J19" s="125" t="str">
        <f t="shared" si="28"/>
        <v>нд</v>
      </c>
      <c r="K19" s="125" t="str">
        <f t="shared" si="28"/>
        <v>нд</v>
      </c>
      <c r="L19" s="125">
        <f>L20</f>
        <v>0.5</v>
      </c>
      <c r="M19" s="125" t="str">
        <f t="shared" si="28"/>
        <v>нд</v>
      </c>
      <c r="N19" s="125" t="str">
        <f t="shared" si="28"/>
        <v>нд</v>
      </c>
      <c r="O19" s="125" t="str">
        <f t="shared" si="28"/>
        <v>нд</v>
      </c>
      <c r="P19" s="125" t="str">
        <f t="shared" si="28"/>
        <v>нд</v>
      </c>
      <c r="Q19" s="125" t="str">
        <f t="shared" si="28"/>
        <v>нд</v>
      </c>
      <c r="R19" s="125" t="str">
        <f t="shared" si="28"/>
        <v>нд</v>
      </c>
      <c r="S19" s="125" t="str">
        <f t="shared" si="28"/>
        <v>нд</v>
      </c>
      <c r="T19" s="125" t="str">
        <f t="shared" si="28"/>
        <v>нд</v>
      </c>
      <c r="U19" s="125" t="str">
        <f t="shared" si="28"/>
        <v>нд</v>
      </c>
      <c r="V19" s="125" t="str">
        <f t="shared" si="28"/>
        <v>нд</v>
      </c>
      <c r="W19" s="125" t="str">
        <f t="shared" si="28"/>
        <v>нд</v>
      </c>
      <c r="X19" s="125" t="str">
        <f t="shared" si="28"/>
        <v>нд</v>
      </c>
      <c r="Y19" s="125" t="str">
        <f t="shared" si="28"/>
        <v>нд</v>
      </c>
      <c r="Z19" s="125" t="str">
        <f t="shared" si="28"/>
        <v>нд</v>
      </c>
      <c r="AA19" s="125" t="str">
        <f t="shared" si="28"/>
        <v>нд</v>
      </c>
      <c r="AB19" s="125" t="str">
        <f t="shared" si="28"/>
        <v>нд</v>
      </c>
      <c r="AC19" s="125" t="str">
        <f t="shared" si="28"/>
        <v>нд</v>
      </c>
      <c r="AD19" s="125" t="str">
        <f t="shared" si="28"/>
        <v>нд</v>
      </c>
      <c r="AE19" s="125" t="str">
        <f t="shared" si="28"/>
        <v>нд</v>
      </c>
      <c r="AF19" s="125" t="str">
        <f t="shared" si="28"/>
        <v>нд</v>
      </c>
      <c r="AG19" s="125" t="str">
        <f t="shared" si="28"/>
        <v>нд</v>
      </c>
      <c r="AH19" s="125" t="str">
        <f t="shared" si="28"/>
        <v>нд</v>
      </c>
      <c r="AI19" s="125" t="str">
        <f t="shared" si="28"/>
        <v>нд</v>
      </c>
      <c r="AJ19" s="125" t="str">
        <f t="shared" si="28"/>
        <v>нд</v>
      </c>
      <c r="AK19" s="125" t="str">
        <f t="shared" si="28"/>
        <v>нд</v>
      </c>
      <c r="AL19" s="125" t="str">
        <f t="shared" si="28"/>
        <v>нд</v>
      </c>
      <c r="AM19" s="125" t="str">
        <f t="shared" si="28"/>
        <v>нд</v>
      </c>
      <c r="AN19" s="125" t="str">
        <f t="shared" si="28"/>
        <v>нд</v>
      </c>
      <c r="AO19" s="125" t="str">
        <f t="shared" si="28"/>
        <v>нд</v>
      </c>
      <c r="AP19" s="125" t="str">
        <f t="shared" si="28"/>
        <v>нд</v>
      </c>
      <c r="AQ19" s="125" t="str">
        <f t="shared" si="28"/>
        <v>нд</v>
      </c>
      <c r="AR19" s="125" t="str">
        <f t="shared" si="28"/>
        <v>нд</v>
      </c>
      <c r="AS19" s="125" t="str">
        <f t="shared" si="28"/>
        <v>нд</v>
      </c>
      <c r="AT19" s="125" t="str">
        <f t="shared" si="28"/>
        <v>нд</v>
      </c>
      <c r="AU19" s="125" t="str">
        <f t="shared" si="28"/>
        <v>нд</v>
      </c>
      <c r="AV19" s="125" t="str">
        <f t="shared" si="28"/>
        <v>нд</v>
      </c>
      <c r="AW19" s="125" t="str">
        <f t="shared" si="28"/>
        <v>нд</v>
      </c>
      <c r="AX19" s="125" t="str">
        <f t="shared" si="28"/>
        <v>нд</v>
      </c>
      <c r="AY19" s="125" t="str">
        <f t="shared" si="28"/>
        <v>нд</v>
      </c>
      <c r="AZ19" s="125" t="str">
        <f t="shared" ref="AZ19" si="29">AZ20</f>
        <v>нд</v>
      </c>
      <c r="BA19" s="125" t="str">
        <f t="shared" ref="BA19" si="30">BA20</f>
        <v>нд</v>
      </c>
      <c r="BB19" s="125" t="str">
        <f t="shared" ref="BB19" si="31">BB20</f>
        <v>нд</v>
      </c>
      <c r="BC19" s="125" t="str">
        <f t="shared" ref="BC19" si="32">BC20</f>
        <v>нд</v>
      </c>
      <c r="BD19" s="125" t="str">
        <f t="shared" ref="BD19" si="33">BD20</f>
        <v>нд</v>
      </c>
      <c r="BE19" s="125" t="str">
        <f t="shared" ref="BE19" si="34">BE20</f>
        <v>нд</v>
      </c>
      <c r="BF19" s="125" t="str">
        <f t="shared" ref="BF19" si="35">BF20</f>
        <v>нд</v>
      </c>
      <c r="BG19" s="125" t="str">
        <f t="shared" ref="BG19" si="36">BG20</f>
        <v>нд</v>
      </c>
      <c r="BH19" s="125" t="str">
        <f t="shared" ref="BH19" si="37">BH20</f>
        <v>нд</v>
      </c>
      <c r="BI19" s="125" t="str">
        <f t="shared" ref="BI19" si="38">BI20</f>
        <v>нд</v>
      </c>
      <c r="BJ19" s="125" t="str">
        <f t="shared" ref="BJ19" si="39">BJ20</f>
        <v>нд</v>
      </c>
      <c r="BK19" s="125" t="str">
        <f t="shared" ref="BK19" si="40">BK20</f>
        <v>нд</v>
      </c>
      <c r="BL19" s="125" t="str">
        <f t="shared" ref="BL19" si="41">BL20</f>
        <v>нд</v>
      </c>
      <c r="BM19" s="125" t="str">
        <f t="shared" ref="BM19" si="42">BM20</f>
        <v>нд</v>
      </c>
      <c r="BN19" s="125" t="str">
        <f t="shared" ref="BN19" si="43">BN20</f>
        <v>нд</v>
      </c>
      <c r="BO19" s="125" t="str">
        <f t="shared" ref="BO19" si="44">BO20</f>
        <v>нд</v>
      </c>
      <c r="BP19" s="125">
        <f>BP20</f>
        <v>0.5</v>
      </c>
      <c r="BQ19" s="125" t="str">
        <f t="shared" ref="BQ19" si="45">BQ20</f>
        <v>нд</v>
      </c>
      <c r="BR19" s="125" t="str">
        <f t="shared" ref="BR19" si="46">BR20</f>
        <v>нд</v>
      </c>
      <c r="BS19" s="125" t="str">
        <f t="shared" ref="BS19" si="47">BS20</f>
        <v>нд</v>
      </c>
      <c r="BT19" s="125" t="str">
        <f t="shared" ref="BT19" si="48">BT20</f>
        <v>нд</v>
      </c>
      <c r="BU19" s="125" t="str">
        <f t="shared" ref="BU19" si="49">BU20</f>
        <v>нд</v>
      </c>
      <c r="BV19" s="125" t="str">
        <f t="shared" ref="BV19" si="50">BV20</f>
        <v>нд</v>
      </c>
      <c r="BW19" s="125" t="str">
        <f t="shared" ref="BW19" si="51">BW20</f>
        <v>нд</v>
      </c>
      <c r="BX19" s="125">
        <f>BX20</f>
        <v>0.5</v>
      </c>
      <c r="BY19" s="125" t="str">
        <f t="shared" ref="BY19" si="52">BY20</f>
        <v>нд</v>
      </c>
      <c r="BZ19" s="125" t="str">
        <f t="shared" ref="BZ19" si="53">BZ20</f>
        <v>нд</v>
      </c>
      <c r="CA19" s="125" t="str">
        <f t="shared" ref="CA19" si="54">CA20</f>
        <v>нд</v>
      </c>
      <c r="CB19" s="125" t="str">
        <f t="shared" ref="CB19" si="55">CB20</f>
        <v>нд</v>
      </c>
      <c r="CC19" s="125" t="str">
        <f t="shared" ref="CC19" si="56">CC20</f>
        <v>нд</v>
      </c>
      <c r="CD19" s="125" t="str">
        <f t="shared" ref="CD19" si="57">CD20</f>
        <v>нд</v>
      </c>
      <c r="CE19" s="125" t="str">
        <f t="shared" ref="CE19" si="58">CE20</f>
        <v>нд</v>
      </c>
      <c r="CF19" s="125" t="str">
        <f t="shared" si="28"/>
        <v>нд</v>
      </c>
      <c r="CG19" s="125" t="str">
        <f t="shared" ref="CG19:DL19" si="59">CG20</f>
        <v>нд</v>
      </c>
      <c r="CH19" s="125" t="str">
        <f t="shared" si="59"/>
        <v>нд</v>
      </c>
      <c r="CI19" s="125" t="str">
        <f t="shared" si="59"/>
        <v>нд</v>
      </c>
      <c r="CJ19" s="125" t="str">
        <f t="shared" si="59"/>
        <v>нд</v>
      </c>
      <c r="CK19" s="125" t="str">
        <f t="shared" si="59"/>
        <v>нд</v>
      </c>
      <c r="CL19" s="125" t="str">
        <f t="shared" si="59"/>
        <v>нд</v>
      </c>
      <c r="CM19" s="125" t="str">
        <f t="shared" si="59"/>
        <v>нд</v>
      </c>
      <c r="CN19" s="125" t="str">
        <f t="shared" si="59"/>
        <v>нд</v>
      </c>
      <c r="CO19" s="125" t="str">
        <f t="shared" si="59"/>
        <v>нд</v>
      </c>
      <c r="CP19" s="125" t="str">
        <f t="shared" si="59"/>
        <v>нд</v>
      </c>
      <c r="CQ19" s="125" t="str">
        <f t="shared" si="59"/>
        <v>нд</v>
      </c>
      <c r="CR19" s="125" t="str">
        <f t="shared" si="59"/>
        <v>нд</v>
      </c>
      <c r="CS19" s="125" t="str">
        <f t="shared" si="59"/>
        <v>нд</v>
      </c>
      <c r="CT19" s="125" t="str">
        <f t="shared" si="59"/>
        <v>нд</v>
      </c>
      <c r="CU19" s="125" t="str">
        <f t="shared" si="59"/>
        <v>нд</v>
      </c>
      <c r="CV19" s="125">
        <f>CV20</f>
        <v>0.5</v>
      </c>
      <c r="CW19" s="125" t="str">
        <f t="shared" si="21"/>
        <v>нд</v>
      </c>
      <c r="CX19" s="125" t="str">
        <f t="shared" si="21"/>
        <v>нд</v>
      </c>
      <c r="CY19" s="125" t="str">
        <f t="shared" si="21"/>
        <v>нд</v>
      </c>
      <c r="CZ19" s="125" t="str">
        <f t="shared" si="21"/>
        <v>нд</v>
      </c>
      <c r="DA19" s="125" t="str">
        <f t="shared" si="21"/>
        <v>нд</v>
      </c>
      <c r="DB19" s="125" t="str">
        <f t="shared" si="21"/>
        <v>нд</v>
      </c>
      <c r="DC19" s="125" t="str">
        <f t="shared" si="21"/>
        <v>нд</v>
      </c>
      <c r="DD19" s="125">
        <f>DD20</f>
        <v>0.5</v>
      </c>
      <c r="DE19" s="125" t="str">
        <f t="shared" si="21"/>
        <v>нд</v>
      </c>
      <c r="DF19" s="125" t="str">
        <f t="shared" si="21"/>
        <v>нд</v>
      </c>
      <c r="DG19" s="125" t="str">
        <f t="shared" si="21"/>
        <v>нд</v>
      </c>
      <c r="DH19" s="125" t="str">
        <f t="shared" si="21"/>
        <v>нд</v>
      </c>
      <c r="DI19" s="125" t="str">
        <f t="shared" si="21"/>
        <v>нд</v>
      </c>
      <c r="DJ19" s="125" t="str">
        <f t="shared" si="21"/>
        <v>нд</v>
      </c>
      <c r="DK19" s="125" t="str">
        <f t="shared" si="21"/>
        <v>нд</v>
      </c>
      <c r="DL19" s="125" t="str">
        <f t="shared" si="59"/>
        <v>нд</v>
      </c>
    </row>
    <row r="20" spans="1:116" s="129" customFormat="1" ht="18" customHeight="1" x14ac:dyDescent="0.25">
      <c r="A20" s="127" t="s">
        <v>38</v>
      </c>
      <c r="B20" s="10" t="s">
        <v>39</v>
      </c>
      <c r="C20" s="317" t="s">
        <v>33</v>
      </c>
      <c r="D20" s="317">
        <f>SUM(D21:D23)</f>
        <v>0.5</v>
      </c>
      <c r="E20" s="317" t="s">
        <v>33</v>
      </c>
      <c r="F20" s="317" t="s">
        <v>33</v>
      </c>
      <c r="G20" s="317" t="s">
        <v>33</v>
      </c>
      <c r="H20" s="317" t="s">
        <v>33</v>
      </c>
      <c r="I20" s="317" t="s">
        <v>33</v>
      </c>
      <c r="J20" s="317" t="s">
        <v>33</v>
      </c>
      <c r="K20" s="317" t="s">
        <v>33</v>
      </c>
      <c r="L20" s="317">
        <f>SUM(L21:L23)</f>
        <v>0.5</v>
      </c>
      <c r="M20" s="317" t="s">
        <v>33</v>
      </c>
      <c r="N20" s="317" t="s">
        <v>33</v>
      </c>
      <c r="O20" s="317" t="s">
        <v>33</v>
      </c>
      <c r="P20" s="317" t="s">
        <v>33</v>
      </c>
      <c r="Q20" s="317" t="s">
        <v>33</v>
      </c>
      <c r="R20" s="317" t="s">
        <v>33</v>
      </c>
      <c r="S20" s="317" t="s">
        <v>33</v>
      </c>
      <c r="T20" s="317" t="s">
        <v>33</v>
      </c>
      <c r="U20" s="317" t="s">
        <v>33</v>
      </c>
      <c r="V20" s="317" t="s">
        <v>33</v>
      </c>
      <c r="W20" s="317" t="s">
        <v>33</v>
      </c>
      <c r="X20" s="317" t="s">
        <v>33</v>
      </c>
      <c r="Y20" s="317" t="s">
        <v>33</v>
      </c>
      <c r="Z20" s="317" t="s">
        <v>33</v>
      </c>
      <c r="AA20" s="317" t="s">
        <v>33</v>
      </c>
      <c r="AB20" s="317" t="s">
        <v>33</v>
      </c>
      <c r="AC20" s="317" t="s">
        <v>33</v>
      </c>
      <c r="AD20" s="317" t="s">
        <v>33</v>
      </c>
      <c r="AE20" s="317" t="s">
        <v>33</v>
      </c>
      <c r="AF20" s="317" t="s">
        <v>33</v>
      </c>
      <c r="AG20" s="317" t="s">
        <v>33</v>
      </c>
      <c r="AH20" s="317" t="s">
        <v>33</v>
      </c>
      <c r="AI20" s="317" t="s">
        <v>33</v>
      </c>
      <c r="AJ20" s="317" t="s">
        <v>33</v>
      </c>
      <c r="AK20" s="317" t="s">
        <v>33</v>
      </c>
      <c r="AL20" s="317" t="s">
        <v>33</v>
      </c>
      <c r="AM20" s="317" t="s">
        <v>33</v>
      </c>
      <c r="AN20" s="317" t="s">
        <v>33</v>
      </c>
      <c r="AO20" s="317" t="s">
        <v>33</v>
      </c>
      <c r="AP20" s="317" t="s">
        <v>33</v>
      </c>
      <c r="AQ20" s="317" t="s">
        <v>33</v>
      </c>
      <c r="AR20" s="317" t="s">
        <v>33</v>
      </c>
      <c r="AS20" s="317" t="s">
        <v>33</v>
      </c>
      <c r="AT20" s="317" t="s">
        <v>33</v>
      </c>
      <c r="AU20" s="317" t="s">
        <v>33</v>
      </c>
      <c r="AV20" s="317" t="s">
        <v>33</v>
      </c>
      <c r="AW20" s="317" t="s">
        <v>33</v>
      </c>
      <c r="AX20" s="317" t="s">
        <v>33</v>
      </c>
      <c r="AY20" s="317" t="s">
        <v>33</v>
      </c>
      <c r="AZ20" s="317" t="s">
        <v>33</v>
      </c>
      <c r="BA20" s="317" t="s">
        <v>33</v>
      </c>
      <c r="BB20" s="317" t="s">
        <v>33</v>
      </c>
      <c r="BC20" s="317" t="s">
        <v>33</v>
      </c>
      <c r="BD20" s="317" t="s">
        <v>33</v>
      </c>
      <c r="BE20" s="317" t="s">
        <v>33</v>
      </c>
      <c r="BF20" s="317" t="s">
        <v>33</v>
      </c>
      <c r="BG20" s="317" t="s">
        <v>33</v>
      </c>
      <c r="BH20" s="317" t="s">
        <v>33</v>
      </c>
      <c r="BI20" s="317" t="s">
        <v>33</v>
      </c>
      <c r="BJ20" s="317" t="s">
        <v>33</v>
      </c>
      <c r="BK20" s="317" t="s">
        <v>33</v>
      </c>
      <c r="BL20" s="317" t="s">
        <v>33</v>
      </c>
      <c r="BM20" s="317" t="s">
        <v>33</v>
      </c>
      <c r="BN20" s="317" t="s">
        <v>33</v>
      </c>
      <c r="BO20" s="317" t="s">
        <v>33</v>
      </c>
      <c r="BP20" s="317">
        <f>SUM(BP21:BP23)</f>
        <v>0.5</v>
      </c>
      <c r="BQ20" s="317" t="s">
        <v>33</v>
      </c>
      <c r="BR20" s="317" t="s">
        <v>33</v>
      </c>
      <c r="BS20" s="317" t="s">
        <v>33</v>
      </c>
      <c r="BT20" s="317" t="s">
        <v>33</v>
      </c>
      <c r="BU20" s="317" t="s">
        <v>33</v>
      </c>
      <c r="BV20" s="317" t="s">
        <v>33</v>
      </c>
      <c r="BW20" s="317" t="s">
        <v>33</v>
      </c>
      <c r="BX20" s="317">
        <f>SUM(BX21:BX23)</f>
        <v>0.5</v>
      </c>
      <c r="BY20" s="317" t="s">
        <v>33</v>
      </c>
      <c r="BZ20" s="317" t="s">
        <v>33</v>
      </c>
      <c r="CA20" s="317" t="s">
        <v>33</v>
      </c>
      <c r="CB20" s="317" t="s">
        <v>33</v>
      </c>
      <c r="CC20" s="317" t="s">
        <v>33</v>
      </c>
      <c r="CD20" s="317" t="s">
        <v>33</v>
      </c>
      <c r="CE20" s="317" t="s">
        <v>33</v>
      </c>
      <c r="CF20" s="317" t="s">
        <v>33</v>
      </c>
      <c r="CG20" s="317" t="s">
        <v>33</v>
      </c>
      <c r="CH20" s="317" t="s">
        <v>33</v>
      </c>
      <c r="CI20" s="317" t="s">
        <v>33</v>
      </c>
      <c r="CJ20" s="317" t="s">
        <v>33</v>
      </c>
      <c r="CK20" s="317" t="s">
        <v>33</v>
      </c>
      <c r="CL20" s="317" t="s">
        <v>33</v>
      </c>
      <c r="CM20" s="317" t="s">
        <v>33</v>
      </c>
      <c r="CN20" s="317" t="s">
        <v>33</v>
      </c>
      <c r="CO20" s="317" t="s">
        <v>33</v>
      </c>
      <c r="CP20" s="317" t="s">
        <v>33</v>
      </c>
      <c r="CQ20" s="317" t="s">
        <v>33</v>
      </c>
      <c r="CR20" s="317" t="s">
        <v>33</v>
      </c>
      <c r="CS20" s="317" t="s">
        <v>33</v>
      </c>
      <c r="CT20" s="317" t="s">
        <v>33</v>
      </c>
      <c r="CU20" s="317" t="s">
        <v>33</v>
      </c>
      <c r="CV20" s="317">
        <f>SUM(CV21:CV23)</f>
        <v>0.5</v>
      </c>
      <c r="CW20" s="317" t="s">
        <v>33</v>
      </c>
      <c r="CX20" s="317" t="s">
        <v>33</v>
      </c>
      <c r="CY20" s="317" t="s">
        <v>33</v>
      </c>
      <c r="CZ20" s="317" t="s">
        <v>33</v>
      </c>
      <c r="DA20" s="317" t="s">
        <v>33</v>
      </c>
      <c r="DB20" s="317" t="s">
        <v>33</v>
      </c>
      <c r="DC20" s="317" t="s">
        <v>33</v>
      </c>
      <c r="DD20" s="317">
        <f>SUM(DD21:DD23)</f>
        <v>0.5</v>
      </c>
      <c r="DE20" s="317" t="s">
        <v>33</v>
      </c>
      <c r="DF20" s="317" t="s">
        <v>33</v>
      </c>
      <c r="DG20" s="317" t="s">
        <v>33</v>
      </c>
      <c r="DH20" s="317" t="s">
        <v>33</v>
      </c>
      <c r="DI20" s="317" t="s">
        <v>33</v>
      </c>
      <c r="DJ20" s="317" t="s">
        <v>33</v>
      </c>
      <c r="DK20" s="317" t="s">
        <v>33</v>
      </c>
      <c r="DL20" s="317" t="s">
        <v>33</v>
      </c>
    </row>
    <row r="21" spans="1:116" s="191" customFormat="1" ht="30" x14ac:dyDescent="0.25">
      <c r="A21" s="13" t="s">
        <v>40</v>
      </c>
      <c r="B21" s="375" t="s">
        <v>1330</v>
      </c>
      <c r="C21" s="410" t="s">
        <v>1348</v>
      </c>
      <c r="D21" s="317" t="s">
        <v>33</v>
      </c>
      <c r="E21" s="317" t="s">
        <v>33</v>
      </c>
      <c r="F21" s="317" t="s">
        <v>33</v>
      </c>
      <c r="G21" s="317" t="s">
        <v>33</v>
      </c>
      <c r="H21" s="317" t="s">
        <v>33</v>
      </c>
      <c r="I21" s="317" t="s">
        <v>33</v>
      </c>
      <c r="J21" s="317" t="s">
        <v>33</v>
      </c>
      <c r="K21" s="317" t="s">
        <v>33</v>
      </c>
      <c r="L21" s="317" t="s">
        <v>33</v>
      </c>
      <c r="M21" s="317" t="s">
        <v>33</v>
      </c>
      <c r="N21" s="317" t="s">
        <v>33</v>
      </c>
      <c r="O21" s="317" t="s">
        <v>33</v>
      </c>
      <c r="P21" s="317" t="s">
        <v>33</v>
      </c>
      <c r="Q21" s="317" t="s">
        <v>33</v>
      </c>
      <c r="R21" s="317" t="s">
        <v>33</v>
      </c>
      <c r="S21" s="317" t="s">
        <v>33</v>
      </c>
      <c r="T21" s="317" t="s">
        <v>33</v>
      </c>
      <c r="U21" s="317" t="s">
        <v>33</v>
      </c>
      <c r="V21" s="317" t="s">
        <v>33</v>
      </c>
      <c r="W21" s="317" t="s">
        <v>33</v>
      </c>
      <c r="X21" s="317" t="s">
        <v>33</v>
      </c>
      <c r="Y21" s="317" t="s">
        <v>33</v>
      </c>
      <c r="Z21" s="317" t="s">
        <v>33</v>
      </c>
      <c r="AA21" s="317" t="s">
        <v>33</v>
      </c>
      <c r="AB21" s="317" t="s">
        <v>33</v>
      </c>
      <c r="AC21" s="317" t="s">
        <v>33</v>
      </c>
      <c r="AD21" s="317" t="s">
        <v>33</v>
      </c>
      <c r="AE21" s="317" t="s">
        <v>33</v>
      </c>
      <c r="AF21" s="317" t="s">
        <v>33</v>
      </c>
      <c r="AG21" s="317" t="s">
        <v>33</v>
      </c>
      <c r="AH21" s="317" t="s">
        <v>33</v>
      </c>
      <c r="AI21" s="317" t="s">
        <v>33</v>
      </c>
      <c r="AJ21" s="533" t="s">
        <v>33</v>
      </c>
      <c r="AK21" s="533" t="s">
        <v>33</v>
      </c>
      <c r="AL21" s="533" t="s">
        <v>33</v>
      </c>
      <c r="AM21" s="533" t="s">
        <v>33</v>
      </c>
      <c r="AN21" s="533" t="s">
        <v>33</v>
      </c>
      <c r="AO21" s="533" t="s">
        <v>33</v>
      </c>
      <c r="AP21" s="533" t="s">
        <v>33</v>
      </c>
      <c r="AQ21" s="533" t="s">
        <v>33</v>
      </c>
      <c r="AR21" s="533" t="s">
        <v>33</v>
      </c>
      <c r="AS21" s="533" t="s">
        <v>33</v>
      </c>
      <c r="AT21" s="533" t="s">
        <v>33</v>
      </c>
      <c r="AU21" s="533" t="s">
        <v>33</v>
      </c>
      <c r="AV21" s="533" t="s">
        <v>33</v>
      </c>
      <c r="AW21" s="533" t="s">
        <v>33</v>
      </c>
      <c r="AX21" s="533" t="s">
        <v>33</v>
      </c>
      <c r="AY21" s="533" t="s">
        <v>33</v>
      </c>
      <c r="AZ21" s="317" t="s">
        <v>33</v>
      </c>
      <c r="BA21" s="317" t="s">
        <v>33</v>
      </c>
      <c r="BB21" s="317" t="s">
        <v>33</v>
      </c>
      <c r="BC21" s="317" t="s">
        <v>33</v>
      </c>
      <c r="BD21" s="317" t="s">
        <v>33</v>
      </c>
      <c r="BE21" s="317" t="s">
        <v>33</v>
      </c>
      <c r="BF21" s="317" t="s">
        <v>33</v>
      </c>
      <c r="BG21" s="317" t="s">
        <v>33</v>
      </c>
      <c r="BH21" s="317" t="s">
        <v>33</v>
      </c>
      <c r="BI21" s="317" t="s">
        <v>33</v>
      </c>
      <c r="BJ21" s="317" t="s">
        <v>33</v>
      </c>
      <c r="BK21" s="317" t="s">
        <v>33</v>
      </c>
      <c r="BL21" s="317" t="s">
        <v>33</v>
      </c>
      <c r="BM21" s="317" t="s">
        <v>33</v>
      </c>
      <c r="BN21" s="317" t="s">
        <v>33</v>
      </c>
      <c r="BO21" s="317" t="s">
        <v>33</v>
      </c>
      <c r="BP21" s="317" t="s">
        <v>33</v>
      </c>
      <c r="BQ21" s="317" t="s">
        <v>33</v>
      </c>
      <c r="BR21" s="317" t="s">
        <v>33</v>
      </c>
      <c r="BS21" s="317" t="s">
        <v>33</v>
      </c>
      <c r="BT21" s="317" t="s">
        <v>33</v>
      </c>
      <c r="BU21" s="317" t="s">
        <v>33</v>
      </c>
      <c r="BV21" s="317" t="s">
        <v>33</v>
      </c>
      <c r="BW21" s="317" t="s">
        <v>33</v>
      </c>
      <c r="BX21" s="317" t="s">
        <v>33</v>
      </c>
      <c r="BY21" s="317" t="s">
        <v>33</v>
      </c>
      <c r="BZ21" s="317" t="s">
        <v>33</v>
      </c>
      <c r="CA21" s="317" t="s">
        <v>33</v>
      </c>
      <c r="CB21" s="317" t="s">
        <v>33</v>
      </c>
      <c r="CC21" s="317" t="s">
        <v>33</v>
      </c>
      <c r="CD21" s="317" t="s">
        <v>33</v>
      </c>
      <c r="CE21" s="317" t="s">
        <v>33</v>
      </c>
      <c r="CF21" s="317" t="s">
        <v>33</v>
      </c>
      <c r="CG21" s="317" t="s">
        <v>33</v>
      </c>
      <c r="CH21" s="317" t="s">
        <v>33</v>
      </c>
      <c r="CI21" s="317" t="s">
        <v>33</v>
      </c>
      <c r="CJ21" s="317" t="s">
        <v>33</v>
      </c>
      <c r="CK21" s="317" t="s">
        <v>33</v>
      </c>
      <c r="CL21" s="317" t="s">
        <v>33</v>
      </c>
      <c r="CM21" s="317" t="s">
        <v>33</v>
      </c>
      <c r="CN21" s="317" t="s">
        <v>33</v>
      </c>
      <c r="CO21" s="317" t="s">
        <v>33</v>
      </c>
      <c r="CP21" s="317" t="s">
        <v>33</v>
      </c>
      <c r="CQ21" s="317" t="s">
        <v>33</v>
      </c>
      <c r="CR21" s="317" t="s">
        <v>33</v>
      </c>
      <c r="CS21" s="317" t="s">
        <v>33</v>
      </c>
      <c r="CT21" s="317" t="s">
        <v>33</v>
      </c>
      <c r="CU21" s="317" t="s">
        <v>33</v>
      </c>
      <c r="CV21" s="533" t="s">
        <v>33</v>
      </c>
      <c r="CW21" s="533" t="s">
        <v>33</v>
      </c>
      <c r="CX21" s="533" t="s">
        <v>33</v>
      </c>
      <c r="CY21" s="533" t="s">
        <v>33</v>
      </c>
      <c r="CZ21" s="533" t="s">
        <v>33</v>
      </c>
      <c r="DA21" s="533" t="s">
        <v>33</v>
      </c>
      <c r="DB21" s="533" t="s">
        <v>33</v>
      </c>
      <c r="DC21" s="533" t="s">
        <v>33</v>
      </c>
      <c r="DD21" s="533" t="s">
        <v>33</v>
      </c>
      <c r="DE21" s="533" t="s">
        <v>33</v>
      </c>
      <c r="DF21" s="533" t="s">
        <v>33</v>
      </c>
      <c r="DG21" s="533" t="s">
        <v>33</v>
      </c>
      <c r="DH21" s="533" t="s">
        <v>33</v>
      </c>
      <c r="DI21" s="533" t="s">
        <v>33</v>
      </c>
      <c r="DJ21" s="533" t="s">
        <v>33</v>
      </c>
      <c r="DK21" s="533" t="s">
        <v>33</v>
      </c>
      <c r="DL21" s="317" t="s">
        <v>33</v>
      </c>
    </row>
    <row r="22" spans="1:116" s="191" customFormat="1" x14ac:dyDescent="0.25">
      <c r="A22" s="13" t="s">
        <v>465</v>
      </c>
      <c r="B22" s="237" t="s">
        <v>648</v>
      </c>
      <c r="C22" s="410" t="s">
        <v>637</v>
      </c>
      <c r="D22" s="317">
        <v>0.5</v>
      </c>
      <c r="E22" s="317" t="s">
        <v>33</v>
      </c>
      <c r="F22" s="317" t="s">
        <v>33</v>
      </c>
      <c r="G22" s="317" t="s">
        <v>33</v>
      </c>
      <c r="H22" s="317" t="s">
        <v>33</v>
      </c>
      <c r="I22" s="317" t="s">
        <v>33</v>
      </c>
      <c r="J22" s="317" t="s">
        <v>33</v>
      </c>
      <c r="K22" s="317" t="s">
        <v>33</v>
      </c>
      <c r="L22" s="317">
        <v>0.5</v>
      </c>
      <c r="M22" s="317" t="s">
        <v>33</v>
      </c>
      <c r="N22" s="317" t="s">
        <v>33</v>
      </c>
      <c r="O22" s="317" t="s">
        <v>33</v>
      </c>
      <c r="P22" s="317" t="s">
        <v>33</v>
      </c>
      <c r="Q22" s="317" t="s">
        <v>33</v>
      </c>
      <c r="R22" s="317" t="s">
        <v>33</v>
      </c>
      <c r="S22" s="317" t="s">
        <v>33</v>
      </c>
      <c r="T22" s="317" t="s">
        <v>33</v>
      </c>
      <c r="U22" s="317" t="s">
        <v>33</v>
      </c>
      <c r="V22" s="317" t="s">
        <v>33</v>
      </c>
      <c r="W22" s="317" t="s">
        <v>33</v>
      </c>
      <c r="X22" s="317" t="s">
        <v>33</v>
      </c>
      <c r="Y22" s="317" t="s">
        <v>33</v>
      </c>
      <c r="Z22" s="317" t="s">
        <v>33</v>
      </c>
      <c r="AA22" s="317" t="s">
        <v>33</v>
      </c>
      <c r="AB22" s="317" t="s">
        <v>33</v>
      </c>
      <c r="AC22" s="317" t="s">
        <v>33</v>
      </c>
      <c r="AD22" s="317" t="s">
        <v>33</v>
      </c>
      <c r="AE22" s="317" t="s">
        <v>33</v>
      </c>
      <c r="AF22" s="317" t="s">
        <v>33</v>
      </c>
      <c r="AG22" s="317" t="s">
        <v>33</v>
      </c>
      <c r="AH22" s="317" t="s">
        <v>33</v>
      </c>
      <c r="AI22" s="317" t="s">
        <v>33</v>
      </c>
      <c r="AJ22" s="317" t="s">
        <v>33</v>
      </c>
      <c r="AK22" s="317" t="s">
        <v>33</v>
      </c>
      <c r="AL22" s="317" t="s">
        <v>33</v>
      </c>
      <c r="AM22" s="317" t="s">
        <v>33</v>
      </c>
      <c r="AN22" s="317" t="s">
        <v>33</v>
      </c>
      <c r="AO22" s="317" t="s">
        <v>33</v>
      </c>
      <c r="AP22" s="317" t="s">
        <v>33</v>
      </c>
      <c r="AQ22" s="317" t="s">
        <v>33</v>
      </c>
      <c r="AR22" s="317" t="s">
        <v>33</v>
      </c>
      <c r="AS22" s="317" t="s">
        <v>33</v>
      </c>
      <c r="AT22" s="317" t="s">
        <v>33</v>
      </c>
      <c r="AU22" s="317" t="s">
        <v>33</v>
      </c>
      <c r="AV22" s="317" t="s">
        <v>33</v>
      </c>
      <c r="AW22" s="317" t="s">
        <v>33</v>
      </c>
      <c r="AX22" s="317" t="s">
        <v>33</v>
      </c>
      <c r="AY22" s="317" t="s">
        <v>33</v>
      </c>
      <c r="AZ22" s="317" t="s">
        <v>33</v>
      </c>
      <c r="BA22" s="317" t="s">
        <v>33</v>
      </c>
      <c r="BB22" s="317" t="s">
        <v>33</v>
      </c>
      <c r="BC22" s="317" t="s">
        <v>33</v>
      </c>
      <c r="BD22" s="317" t="s">
        <v>33</v>
      </c>
      <c r="BE22" s="317" t="s">
        <v>33</v>
      </c>
      <c r="BF22" s="317" t="s">
        <v>33</v>
      </c>
      <c r="BG22" s="317" t="s">
        <v>33</v>
      </c>
      <c r="BH22" s="317" t="s">
        <v>33</v>
      </c>
      <c r="BI22" s="317" t="s">
        <v>33</v>
      </c>
      <c r="BJ22" s="317" t="s">
        <v>33</v>
      </c>
      <c r="BK22" s="317" t="s">
        <v>33</v>
      </c>
      <c r="BL22" s="317" t="s">
        <v>33</v>
      </c>
      <c r="BM22" s="317" t="s">
        <v>33</v>
      </c>
      <c r="BN22" s="317" t="s">
        <v>33</v>
      </c>
      <c r="BO22" s="317" t="s">
        <v>33</v>
      </c>
      <c r="BP22" s="533">
        <f>D22</f>
        <v>0.5</v>
      </c>
      <c r="BQ22" s="533" t="s">
        <v>33</v>
      </c>
      <c r="BR22" s="533" t="s">
        <v>33</v>
      </c>
      <c r="BS22" s="533" t="s">
        <v>33</v>
      </c>
      <c r="BT22" s="533" t="s">
        <v>33</v>
      </c>
      <c r="BU22" s="533" t="s">
        <v>33</v>
      </c>
      <c r="BV22" s="533" t="s">
        <v>33</v>
      </c>
      <c r="BW22" s="533" t="s">
        <v>33</v>
      </c>
      <c r="BX22" s="533">
        <f>L22</f>
        <v>0.5</v>
      </c>
      <c r="BY22" s="533" t="s">
        <v>33</v>
      </c>
      <c r="BZ22" s="533" t="s">
        <v>33</v>
      </c>
      <c r="CA22" s="533" t="s">
        <v>33</v>
      </c>
      <c r="CB22" s="533" t="s">
        <v>33</v>
      </c>
      <c r="CC22" s="533" t="s">
        <v>33</v>
      </c>
      <c r="CD22" s="533" t="s">
        <v>33</v>
      </c>
      <c r="CE22" s="533" t="s">
        <v>33</v>
      </c>
      <c r="CF22" s="317" t="s">
        <v>33</v>
      </c>
      <c r="CG22" s="317" t="s">
        <v>33</v>
      </c>
      <c r="CH22" s="317" t="s">
        <v>33</v>
      </c>
      <c r="CI22" s="317" t="s">
        <v>33</v>
      </c>
      <c r="CJ22" s="317" t="s">
        <v>33</v>
      </c>
      <c r="CK22" s="317" t="s">
        <v>33</v>
      </c>
      <c r="CL22" s="317" t="s">
        <v>33</v>
      </c>
      <c r="CM22" s="317" t="s">
        <v>33</v>
      </c>
      <c r="CN22" s="317" t="s">
        <v>33</v>
      </c>
      <c r="CO22" s="317" t="s">
        <v>33</v>
      </c>
      <c r="CP22" s="317" t="s">
        <v>33</v>
      </c>
      <c r="CQ22" s="317" t="s">
        <v>33</v>
      </c>
      <c r="CR22" s="317" t="s">
        <v>33</v>
      </c>
      <c r="CS22" s="317" t="s">
        <v>33</v>
      </c>
      <c r="CT22" s="317" t="s">
        <v>33</v>
      </c>
      <c r="CU22" s="317" t="s">
        <v>33</v>
      </c>
      <c r="CV22" s="533">
        <f>D22</f>
        <v>0.5</v>
      </c>
      <c r="CW22" s="533" t="s">
        <v>33</v>
      </c>
      <c r="CX22" s="533" t="s">
        <v>33</v>
      </c>
      <c r="CY22" s="533" t="s">
        <v>33</v>
      </c>
      <c r="CZ22" s="533" t="s">
        <v>33</v>
      </c>
      <c r="DA22" s="535" t="str">
        <f t="shared" ref="DA22:DL22" si="60">I22</f>
        <v>нд</v>
      </c>
      <c r="DB22" s="535" t="str">
        <f t="shared" si="60"/>
        <v>нд</v>
      </c>
      <c r="DC22" s="535" t="str">
        <f t="shared" si="60"/>
        <v>нд</v>
      </c>
      <c r="DD22" s="535">
        <f t="shared" si="60"/>
        <v>0.5</v>
      </c>
      <c r="DE22" s="535" t="str">
        <f t="shared" si="60"/>
        <v>нд</v>
      </c>
      <c r="DF22" s="535" t="str">
        <f t="shared" si="60"/>
        <v>нд</v>
      </c>
      <c r="DG22" s="535" t="str">
        <f t="shared" si="60"/>
        <v>нд</v>
      </c>
      <c r="DH22" s="535" t="str">
        <f t="shared" si="60"/>
        <v>нд</v>
      </c>
      <c r="DI22" s="535" t="str">
        <f t="shared" si="60"/>
        <v>нд</v>
      </c>
      <c r="DJ22" s="535" t="str">
        <f t="shared" si="60"/>
        <v>нд</v>
      </c>
      <c r="DK22" s="535" t="str">
        <f t="shared" si="60"/>
        <v>нд</v>
      </c>
      <c r="DL22" s="190" t="str">
        <f t="shared" si="60"/>
        <v>нд</v>
      </c>
    </row>
    <row r="23" spans="1:116" s="191" customFormat="1" x14ac:dyDescent="0.25">
      <c r="A23" s="13" t="s">
        <v>615</v>
      </c>
      <c r="B23" s="237" t="s">
        <v>649</v>
      </c>
      <c r="C23" s="410" t="s">
        <v>638</v>
      </c>
      <c r="D23" s="317" t="s">
        <v>33</v>
      </c>
      <c r="E23" s="317" t="s">
        <v>33</v>
      </c>
      <c r="F23" s="317" t="s">
        <v>33</v>
      </c>
      <c r="G23" s="317" t="s">
        <v>33</v>
      </c>
      <c r="H23" s="317" t="s">
        <v>33</v>
      </c>
      <c r="I23" s="317" t="s">
        <v>33</v>
      </c>
      <c r="J23" s="317" t="s">
        <v>33</v>
      </c>
      <c r="K23" s="317" t="s">
        <v>33</v>
      </c>
      <c r="L23" s="317" t="s">
        <v>33</v>
      </c>
      <c r="M23" s="317" t="s">
        <v>33</v>
      </c>
      <c r="N23" s="317" t="s">
        <v>33</v>
      </c>
      <c r="O23" s="317" t="s">
        <v>33</v>
      </c>
      <c r="P23" s="317" t="s">
        <v>33</v>
      </c>
      <c r="Q23" s="317" t="s">
        <v>33</v>
      </c>
      <c r="R23" s="317" t="s">
        <v>33</v>
      </c>
      <c r="S23" s="317" t="s">
        <v>33</v>
      </c>
      <c r="T23" s="317" t="s">
        <v>33</v>
      </c>
      <c r="U23" s="317" t="s">
        <v>33</v>
      </c>
      <c r="V23" s="317" t="s">
        <v>33</v>
      </c>
      <c r="W23" s="317" t="s">
        <v>33</v>
      </c>
      <c r="X23" s="317" t="s">
        <v>33</v>
      </c>
      <c r="Y23" s="317" t="s">
        <v>33</v>
      </c>
      <c r="Z23" s="317" t="s">
        <v>33</v>
      </c>
      <c r="AA23" s="317" t="s">
        <v>33</v>
      </c>
      <c r="AB23" s="317" t="s">
        <v>33</v>
      </c>
      <c r="AC23" s="317" t="s">
        <v>33</v>
      </c>
      <c r="AD23" s="317" t="s">
        <v>33</v>
      </c>
      <c r="AE23" s="317" t="s">
        <v>33</v>
      </c>
      <c r="AF23" s="317" t="s">
        <v>33</v>
      </c>
      <c r="AG23" s="317" t="s">
        <v>33</v>
      </c>
      <c r="AH23" s="317" t="s">
        <v>33</v>
      </c>
      <c r="AI23" s="317" t="s">
        <v>33</v>
      </c>
      <c r="AJ23" s="317" t="s">
        <v>33</v>
      </c>
      <c r="AK23" s="317" t="s">
        <v>33</v>
      </c>
      <c r="AL23" s="317" t="s">
        <v>33</v>
      </c>
      <c r="AM23" s="317" t="s">
        <v>33</v>
      </c>
      <c r="AN23" s="317" t="s">
        <v>33</v>
      </c>
      <c r="AO23" s="317" t="s">
        <v>33</v>
      </c>
      <c r="AP23" s="317" t="s">
        <v>33</v>
      </c>
      <c r="AQ23" s="317" t="s">
        <v>33</v>
      </c>
      <c r="AR23" s="317" t="s">
        <v>33</v>
      </c>
      <c r="AS23" s="317" t="s">
        <v>33</v>
      </c>
      <c r="AT23" s="317" t="s">
        <v>33</v>
      </c>
      <c r="AU23" s="317" t="s">
        <v>33</v>
      </c>
      <c r="AV23" s="317" t="s">
        <v>33</v>
      </c>
      <c r="AW23" s="317" t="s">
        <v>33</v>
      </c>
      <c r="AX23" s="317" t="s">
        <v>33</v>
      </c>
      <c r="AY23" s="317" t="s">
        <v>33</v>
      </c>
      <c r="AZ23" s="317" t="s">
        <v>33</v>
      </c>
      <c r="BA23" s="317" t="s">
        <v>33</v>
      </c>
      <c r="BB23" s="317" t="s">
        <v>33</v>
      </c>
      <c r="BC23" s="317" t="s">
        <v>33</v>
      </c>
      <c r="BD23" s="317" t="s">
        <v>33</v>
      </c>
      <c r="BE23" s="317" t="s">
        <v>33</v>
      </c>
      <c r="BF23" s="317" t="s">
        <v>33</v>
      </c>
      <c r="BG23" s="317" t="s">
        <v>33</v>
      </c>
      <c r="BH23" s="317" t="s">
        <v>33</v>
      </c>
      <c r="BI23" s="317" t="s">
        <v>33</v>
      </c>
      <c r="BJ23" s="317" t="s">
        <v>33</v>
      </c>
      <c r="BK23" s="317" t="s">
        <v>33</v>
      </c>
      <c r="BL23" s="317" t="s">
        <v>33</v>
      </c>
      <c r="BM23" s="317" t="s">
        <v>33</v>
      </c>
      <c r="BN23" s="317" t="s">
        <v>33</v>
      </c>
      <c r="BO23" s="317" t="s">
        <v>33</v>
      </c>
      <c r="BP23" s="317" t="s">
        <v>33</v>
      </c>
      <c r="BQ23" s="317" t="s">
        <v>33</v>
      </c>
      <c r="BR23" s="317" t="s">
        <v>33</v>
      </c>
      <c r="BS23" s="317" t="s">
        <v>33</v>
      </c>
      <c r="BT23" s="317" t="s">
        <v>33</v>
      </c>
      <c r="BU23" s="317" t="s">
        <v>33</v>
      </c>
      <c r="BV23" s="317" t="s">
        <v>33</v>
      </c>
      <c r="BW23" s="317" t="s">
        <v>33</v>
      </c>
      <c r="BX23" s="317" t="s">
        <v>33</v>
      </c>
      <c r="BY23" s="317" t="s">
        <v>33</v>
      </c>
      <c r="BZ23" s="317" t="s">
        <v>33</v>
      </c>
      <c r="CA23" s="317" t="s">
        <v>33</v>
      </c>
      <c r="CB23" s="317" t="s">
        <v>33</v>
      </c>
      <c r="CC23" s="317" t="s">
        <v>33</v>
      </c>
      <c r="CD23" s="317" t="s">
        <v>33</v>
      </c>
      <c r="CE23" s="317" t="s">
        <v>33</v>
      </c>
      <c r="CF23" s="533" t="s">
        <v>33</v>
      </c>
      <c r="CG23" s="533" t="s">
        <v>33</v>
      </c>
      <c r="CH23" s="533" t="s">
        <v>33</v>
      </c>
      <c r="CI23" s="533" t="s">
        <v>33</v>
      </c>
      <c r="CJ23" s="533" t="s">
        <v>33</v>
      </c>
      <c r="CK23" s="533" t="s">
        <v>33</v>
      </c>
      <c r="CL23" s="533" t="s">
        <v>33</v>
      </c>
      <c r="CM23" s="533" t="s">
        <v>33</v>
      </c>
      <c r="CN23" s="533" t="s">
        <v>33</v>
      </c>
      <c r="CO23" s="533" t="s">
        <v>33</v>
      </c>
      <c r="CP23" s="533" t="s">
        <v>33</v>
      </c>
      <c r="CQ23" s="533" t="s">
        <v>33</v>
      </c>
      <c r="CR23" s="533" t="s">
        <v>33</v>
      </c>
      <c r="CS23" s="533" t="s">
        <v>33</v>
      </c>
      <c r="CT23" s="533" t="s">
        <v>33</v>
      </c>
      <c r="CU23" s="533" t="s">
        <v>33</v>
      </c>
      <c r="CV23" s="533" t="s">
        <v>33</v>
      </c>
      <c r="CW23" s="533" t="s">
        <v>33</v>
      </c>
      <c r="CX23" s="533" t="s">
        <v>33</v>
      </c>
      <c r="CY23" s="533" t="s">
        <v>33</v>
      </c>
      <c r="CZ23" s="533" t="s">
        <v>33</v>
      </c>
      <c r="DA23" s="533" t="s">
        <v>33</v>
      </c>
      <c r="DB23" s="533" t="s">
        <v>33</v>
      </c>
      <c r="DC23" s="533" t="s">
        <v>33</v>
      </c>
      <c r="DD23" s="533" t="s">
        <v>33</v>
      </c>
      <c r="DE23" s="533" t="s">
        <v>33</v>
      </c>
      <c r="DF23" s="533" t="s">
        <v>33</v>
      </c>
      <c r="DG23" s="533" t="s">
        <v>33</v>
      </c>
      <c r="DH23" s="533" t="s">
        <v>33</v>
      </c>
      <c r="DI23" s="533" t="s">
        <v>33</v>
      </c>
      <c r="DJ23" s="533" t="s">
        <v>33</v>
      </c>
      <c r="DK23" s="533" t="s">
        <v>33</v>
      </c>
      <c r="DL23" s="317" t="s">
        <v>33</v>
      </c>
    </row>
    <row r="24" spans="1:116" s="126" customFormat="1" ht="31.5" x14ac:dyDescent="0.25">
      <c r="A24" s="124" t="s">
        <v>41</v>
      </c>
      <c r="B24" s="39" t="s">
        <v>42</v>
      </c>
      <c r="C24" s="125" t="str">
        <f>C25</f>
        <v>нд</v>
      </c>
      <c r="D24" s="125">
        <f t="shared" ref="D24:E24" si="61">D25</f>
        <v>0.41000000000000003</v>
      </c>
      <c r="E24" s="125" t="str">
        <f t="shared" si="61"/>
        <v>нд</v>
      </c>
      <c r="F24" s="125">
        <f>F25</f>
        <v>7.5830000000000002</v>
      </c>
      <c r="G24" s="125" t="str">
        <f t="shared" ref="G24:BB24" si="62">G25</f>
        <v>нд</v>
      </c>
      <c r="H24" s="125" t="str">
        <f t="shared" si="62"/>
        <v>нд</v>
      </c>
      <c r="I24" s="125" t="str">
        <f t="shared" si="62"/>
        <v>нд</v>
      </c>
      <c r="J24" s="125" t="str">
        <f t="shared" si="62"/>
        <v>нд</v>
      </c>
      <c r="K24" s="125" t="str">
        <f t="shared" si="62"/>
        <v>нд</v>
      </c>
      <c r="L24" s="125">
        <f t="shared" si="62"/>
        <v>0.41000000000000003</v>
      </c>
      <c r="M24" s="125" t="str">
        <f t="shared" si="62"/>
        <v>нд</v>
      </c>
      <c r="N24" s="125">
        <f>N25</f>
        <v>6.9329999999999998</v>
      </c>
      <c r="O24" s="125" t="str">
        <f t="shared" si="62"/>
        <v>нд</v>
      </c>
      <c r="P24" s="125">
        <f>P25</f>
        <v>1.68015</v>
      </c>
      <c r="Q24" s="125" t="str">
        <f t="shared" si="62"/>
        <v>нд</v>
      </c>
      <c r="R24" s="125" t="str">
        <f t="shared" si="62"/>
        <v>нд</v>
      </c>
      <c r="S24" s="125" t="str">
        <f t="shared" si="62"/>
        <v>нд</v>
      </c>
      <c r="T24" s="125" t="str">
        <f t="shared" si="62"/>
        <v>нд</v>
      </c>
      <c r="U24" s="125" t="str">
        <f t="shared" si="62"/>
        <v>нд</v>
      </c>
      <c r="V24" s="125" t="str">
        <f t="shared" si="62"/>
        <v>нд</v>
      </c>
      <c r="W24" s="125" t="str">
        <f t="shared" si="62"/>
        <v>нд</v>
      </c>
      <c r="X24" s="125" t="str">
        <f t="shared" si="62"/>
        <v>нд</v>
      </c>
      <c r="Y24" s="125" t="str">
        <f t="shared" si="62"/>
        <v>нд</v>
      </c>
      <c r="Z24" s="125" t="str">
        <f t="shared" si="62"/>
        <v>нд</v>
      </c>
      <c r="AA24" s="125" t="str">
        <f t="shared" si="62"/>
        <v>нд</v>
      </c>
      <c r="AB24" s="125" t="str">
        <f t="shared" si="62"/>
        <v>нд</v>
      </c>
      <c r="AC24" s="125" t="str">
        <f t="shared" si="62"/>
        <v>нд</v>
      </c>
      <c r="AD24" s="125" t="str">
        <f t="shared" si="62"/>
        <v>нд</v>
      </c>
      <c r="AE24" s="125" t="str">
        <f t="shared" si="62"/>
        <v>нд</v>
      </c>
      <c r="AF24" s="125" t="str">
        <f t="shared" si="62"/>
        <v>нд</v>
      </c>
      <c r="AG24" s="125" t="str">
        <f t="shared" si="62"/>
        <v>нд</v>
      </c>
      <c r="AH24" s="125" t="str">
        <f t="shared" si="62"/>
        <v>нд</v>
      </c>
      <c r="AI24" s="125" t="str">
        <f t="shared" si="62"/>
        <v>нд</v>
      </c>
      <c r="AJ24" s="125">
        <f t="shared" si="62"/>
        <v>0.25</v>
      </c>
      <c r="AK24" s="125" t="str">
        <f t="shared" si="62"/>
        <v>нд</v>
      </c>
      <c r="AL24" s="125">
        <f t="shared" si="62"/>
        <v>3.95</v>
      </c>
      <c r="AM24" s="125" t="str">
        <f t="shared" si="62"/>
        <v>нд</v>
      </c>
      <c r="AN24" s="125" t="str">
        <f t="shared" si="62"/>
        <v>нд</v>
      </c>
      <c r="AO24" s="125" t="str">
        <f t="shared" si="62"/>
        <v>нд</v>
      </c>
      <c r="AP24" s="125" t="str">
        <f t="shared" si="62"/>
        <v>нд</v>
      </c>
      <c r="AQ24" s="125" t="str">
        <f t="shared" si="62"/>
        <v>нд</v>
      </c>
      <c r="AR24" s="125">
        <f t="shared" si="62"/>
        <v>0.25</v>
      </c>
      <c r="AS24" s="125" t="str">
        <f t="shared" si="62"/>
        <v>нд</v>
      </c>
      <c r="AT24" s="125">
        <f t="shared" si="62"/>
        <v>3.3</v>
      </c>
      <c r="AU24" s="125" t="str">
        <f t="shared" si="62"/>
        <v>нд</v>
      </c>
      <c r="AV24" s="125" t="str">
        <f t="shared" si="62"/>
        <v>нд</v>
      </c>
      <c r="AW24" s="125" t="str">
        <f t="shared" si="62"/>
        <v>нд</v>
      </c>
      <c r="AX24" s="125" t="str">
        <f t="shared" si="62"/>
        <v>нд</v>
      </c>
      <c r="AY24" s="125" t="str">
        <f t="shared" si="62"/>
        <v>нд</v>
      </c>
      <c r="AZ24" s="125" t="str">
        <f t="shared" si="62"/>
        <v>нд</v>
      </c>
      <c r="BA24" s="125" t="str">
        <f t="shared" si="62"/>
        <v>нд</v>
      </c>
      <c r="BB24" s="125">
        <f t="shared" si="62"/>
        <v>1.5669999999999999</v>
      </c>
      <c r="BC24" s="125" t="str">
        <f>BC25</f>
        <v>нд</v>
      </c>
      <c r="BD24" s="125" t="str">
        <f t="shared" ref="BD24:BG24" si="63">BD25</f>
        <v>нд</v>
      </c>
      <c r="BE24" s="125" t="str">
        <f t="shared" si="63"/>
        <v>нд</v>
      </c>
      <c r="BF24" s="125" t="str">
        <f t="shared" si="63"/>
        <v>нд</v>
      </c>
      <c r="BG24" s="125" t="str">
        <f t="shared" si="63"/>
        <v>нд</v>
      </c>
      <c r="BH24" s="125" t="str">
        <f t="shared" ref="BH24" si="64">BH25</f>
        <v>нд</v>
      </c>
      <c r="BI24" s="125" t="str">
        <f t="shared" ref="BI24" si="65">BI25</f>
        <v>нд</v>
      </c>
      <c r="BJ24" s="125">
        <f t="shared" ref="BJ24:BL24" si="66">BJ25</f>
        <v>1.5669999999999999</v>
      </c>
      <c r="BK24" s="125" t="str">
        <f t="shared" si="66"/>
        <v>нд</v>
      </c>
      <c r="BL24" s="125">
        <f t="shared" si="66"/>
        <v>1.68015</v>
      </c>
      <c r="BM24" s="125" t="str">
        <f t="shared" ref="BM24" si="67">BM25</f>
        <v>нд</v>
      </c>
      <c r="BN24" s="125" t="str">
        <f t="shared" ref="BN24" si="68">BN25</f>
        <v>нд</v>
      </c>
      <c r="BO24" s="125" t="str">
        <f t="shared" ref="BO24" si="69">BO25</f>
        <v>нд</v>
      </c>
      <c r="BP24" s="125">
        <f t="shared" ref="BP24:BR24" si="70">BP25</f>
        <v>0.16</v>
      </c>
      <c r="BQ24" s="125" t="str">
        <f t="shared" ref="BQ24" si="71">BQ25</f>
        <v>нд</v>
      </c>
      <c r="BR24" s="125">
        <f t="shared" si="70"/>
        <v>2.0659999999999998</v>
      </c>
      <c r="BS24" s="125" t="str">
        <f t="shared" ref="BS24" si="72">BS25</f>
        <v>нд</v>
      </c>
      <c r="BT24" s="125" t="str">
        <f t="shared" ref="BT24:BU24" si="73">BT25</f>
        <v>нд</v>
      </c>
      <c r="BU24" s="125" t="str">
        <f t="shared" si="73"/>
        <v>нд</v>
      </c>
      <c r="BV24" s="125" t="str">
        <f t="shared" ref="BV24" si="74">BV25</f>
        <v>нд</v>
      </c>
      <c r="BW24" s="125" t="str">
        <f t="shared" ref="BW24:BZ24" si="75">BW25</f>
        <v>нд</v>
      </c>
      <c r="BX24" s="125">
        <f t="shared" si="75"/>
        <v>0.16</v>
      </c>
      <c r="BY24" s="125" t="str">
        <f t="shared" si="75"/>
        <v>нд</v>
      </c>
      <c r="BZ24" s="125">
        <f t="shared" si="75"/>
        <v>2.0659999999999998</v>
      </c>
      <c r="CA24" s="125" t="str">
        <f t="shared" ref="CA24" si="76">CA25</f>
        <v>нд</v>
      </c>
      <c r="CB24" s="125" t="str">
        <f t="shared" ref="CB24" si="77">CB25</f>
        <v>нд</v>
      </c>
      <c r="CC24" s="125" t="str">
        <f t="shared" ref="CC24" si="78">CC25</f>
        <v>нд</v>
      </c>
      <c r="CD24" s="125" t="str">
        <f t="shared" ref="CD24" si="79">CD25</f>
        <v>нд</v>
      </c>
      <c r="CE24" s="125" t="str">
        <f t="shared" ref="CE24" si="80">CE25</f>
        <v>нд</v>
      </c>
      <c r="CF24" s="125" t="str">
        <f t="shared" ref="CF24" si="81">CF25</f>
        <v>нд</v>
      </c>
      <c r="CG24" s="125" t="str">
        <f t="shared" ref="CG24" si="82">CG25</f>
        <v>нд</v>
      </c>
      <c r="CH24" s="125" t="str">
        <f t="shared" ref="CH24" si="83">CH25</f>
        <v>нд</v>
      </c>
      <c r="CI24" s="125" t="str">
        <f t="shared" ref="CI24" si="84">CI25</f>
        <v>нд</v>
      </c>
      <c r="CJ24" s="125" t="str">
        <f t="shared" ref="CJ24" si="85">CJ25</f>
        <v>нд</v>
      </c>
      <c r="CK24" s="125" t="str">
        <f t="shared" ref="CK24" si="86">CK25</f>
        <v>нд</v>
      </c>
      <c r="CL24" s="125" t="str">
        <f t="shared" ref="CL24" si="87">CL25</f>
        <v>нд</v>
      </c>
      <c r="CM24" s="125" t="str">
        <f t="shared" ref="CM24" si="88">CM25</f>
        <v>нд</v>
      </c>
      <c r="CN24" s="125" t="str">
        <f t="shared" ref="CN24" si="89">CN25</f>
        <v>нд</v>
      </c>
      <c r="CO24" s="125" t="str">
        <f t="shared" ref="CO24" si="90">CO25</f>
        <v>нд</v>
      </c>
      <c r="CP24" s="125" t="str">
        <f t="shared" ref="CP24" si="91">CP25</f>
        <v>нд</v>
      </c>
      <c r="CQ24" s="125" t="str">
        <f t="shared" ref="CQ24" si="92">CQ25</f>
        <v>нд</v>
      </c>
      <c r="CR24" s="125" t="str">
        <f t="shared" ref="CR24" si="93">CR25</f>
        <v>нд</v>
      </c>
      <c r="CS24" s="125" t="str">
        <f t="shared" ref="CS24" si="94">CS25</f>
        <v>нд</v>
      </c>
      <c r="CT24" s="125" t="str">
        <f t="shared" ref="CT24" si="95">CT25</f>
        <v>нд</v>
      </c>
      <c r="CU24" s="125" t="str">
        <f t="shared" ref="CU24:CW24" si="96">CU25</f>
        <v>нд</v>
      </c>
      <c r="CV24" s="125">
        <f t="shared" si="96"/>
        <v>0.41000000000000003</v>
      </c>
      <c r="CW24" s="125" t="str">
        <f t="shared" si="96"/>
        <v>нд</v>
      </c>
      <c r="CX24" s="125">
        <f>CX25</f>
        <v>7.5830000000000002</v>
      </c>
      <c r="CY24" s="125" t="str">
        <f t="shared" ref="CY24:DK24" si="97">CY25</f>
        <v>нд</v>
      </c>
      <c r="CZ24" s="125" t="str">
        <f t="shared" si="97"/>
        <v>нд</v>
      </c>
      <c r="DA24" s="125" t="str">
        <f t="shared" si="97"/>
        <v>нд</v>
      </c>
      <c r="DB24" s="125" t="str">
        <f t="shared" si="97"/>
        <v>нд</v>
      </c>
      <c r="DC24" s="125" t="str">
        <f t="shared" si="97"/>
        <v>нд</v>
      </c>
      <c r="DD24" s="125">
        <f t="shared" si="97"/>
        <v>0.41000000000000003</v>
      </c>
      <c r="DE24" s="125" t="str">
        <f t="shared" si="97"/>
        <v>нд</v>
      </c>
      <c r="DF24" s="125">
        <f>DF25</f>
        <v>6.9329999999999998</v>
      </c>
      <c r="DG24" s="125" t="str">
        <f t="shared" si="97"/>
        <v>нд</v>
      </c>
      <c r="DH24" s="125">
        <f>DH25</f>
        <v>1.68015</v>
      </c>
      <c r="DI24" s="125" t="str">
        <f t="shared" si="97"/>
        <v>нд</v>
      </c>
      <c r="DJ24" s="125" t="str">
        <f t="shared" si="97"/>
        <v>нд</v>
      </c>
      <c r="DK24" s="125" t="str">
        <f t="shared" si="97"/>
        <v>нд</v>
      </c>
      <c r="DL24" s="125" t="str">
        <f t="shared" ref="DL24" si="98">DL25</f>
        <v>нд</v>
      </c>
    </row>
    <row r="25" spans="1:116" s="129" customFormat="1" x14ac:dyDescent="0.25">
      <c r="A25" s="127" t="s">
        <v>49</v>
      </c>
      <c r="B25" s="10" t="s">
        <v>50</v>
      </c>
      <c r="C25" s="317" t="s">
        <v>33</v>
      </c>
      <c r="D25" s="317">
        <f>SUM(D26:D30)</f>
        <v>0.41000000000000003</v>
      </c>
      <c r="E25" s="317" t="s">
        <v>33</v>
      </c>
      <c r="F25" s="128">
        <f t="shared" ref="F25:BB25" si="99">SUM(F26:F30)</f>
        <v>7.5830000000000002</v>
      </c>
      <c r="G25" s="317" t="s">
        <v>33</v>
      </c>
      <c r="H25" s="317" t="s">
        <v>33</v>
      </c>
      <c r="I25" s="317" t="s">
        <v>33</v>
      </c>
      <c r="J25" s="317" t="s">
        <v>33</v>
      </c>
      <c r="K25" s="317" t="s">
        <v>33</v>
      </c>
      <c r="L25" s="317">
        <f>SUM(L26:L30)</f>
        <v>0.41000000000000003</v>
      </c>
      <c r="M25" s="317" t="s">
        <v>33</v>
      </c>
      <c r="N25" s="128">
        <f t="shared" ref="N25:P25" si="100">SUM(N26:N30)</f>
        <v>6.9329999999999998</v>
      </c>
      <c r="O25" s="317" t="s">
        <v>33</v>
      </c>
      <c r="P25" s="128">
        <f t="shared" si="100"/>
        <v>1.68015</v>
      </c>
      <c r="Q25" s="317" t="s">
        <v>33</v>
      </c>
      <c r="R25" s="317" t="s">
        <v>33</v>
      </c>
      <c r="S25" s="317" t="s">
        <v>33</v>
      </c>
      <c r="T25" s="317" t="s">
        <v>33</v>
      </c>
      <c r="U25" s="317" t="s">
        <v>33</v>
      </c>
      <c r="V25" s="317" t="s">
        <v>33</v>
      </c>
      <c r="W25" s="317" t="s">
        <v>33</v>
      </c>
      <c r="X25" s="317" t="s">
        <v>33</v>
      </c>
      <c r="Y25" s="317" t="s">
        <v>33</v>
      </c>
      <c r="Z25" s="317" t="s">
        <v>33</v>
      </c>
      <c r="AA25" s="317" t="s">
        <v>33</v>
      </c>
      <c r="AB25" s="317" t="s">
        <v>33</v>
      </c>
      <c r="AC25" s="317" t="s">
        <v>33</v>
      </c>
      <c r="AD25" s="317" t="s">
        <v>33</v>
      </c>
      <c r="AE25" s="317" t="s">
        <v>33</v>
      </c>
      <c r="AF25" s="317" t="s">
        <v>33</v>
      </c>
      <c r="AG25" s="317" t="s">
        <v>33</v>
      </c>
      <c r="AH25" s="317" t="s">
        <v>33</v>
      </c>
      <c r="AI25" s="317" t="s">
        <v>33</v>
      </c>
      <c r="AJ25" s="128">
        <f t="shared" ref="AJ25" si="101">SUM(AJ26:AJ30)</f>
        <v>0.25</v>
      </c>
      <c r="AK25" s="317" t="s">
        <v>33</v>
      </c>
      <c r="AL25" s="128">
        <f t="shared" si="99"/>
        <v>3.95</v>
      </c>
      <c r="AM25" s="317" t="s">
        <v>33</v>
      </c>
      <c r="AN25" s="317" t="s">
        <v>33</v>
      </c>
      <c r="AO25" s="317" t="s">
        <v>33</v>
      </c>
      <c r="AP25" s="317" t="s">
        <v>33</v>
      </c>
      <c r="AQ25" s="317" t="s">
        <v>33</v>
      </c>
      <c r="AR25" s="128">
        <f t="shared" ref="AR25" si="102">SUM(AR26:AR30)</f>
        <v>0.25</v>
      </c>
      <c r="AS25" s="317" t="s">
        <v>33</v>
      </c>
      <c r="AT25" s="128">
        <f t="shared" ref="AT25" si="103">SUM(AT26:AT30)</f>
        <v>3.3</v>
      </c>
      <c r="AU25" s="317" t="s">
        <v>33</v>
      </c>
      <c r="AV25" s="317" t="s">
        <v>33</v>
      </c>
      <c r="AW25" s="317" t="s">
        <v>33</v>
      </c>
      <c r="AX25" s="317" t="s">
        <v>33</v>
      </c>
      <c r="AY25" s="317" t="s">
        <v>33</v>
      </c>
      <c r="AZ25" s="317" t="s">
        <v>33</v>
      </c>
      <c r="BA25" s="317" t="s">
        <v>33</v>
      </c>
      <c r="BB25" s="128">
        <f t="shared" si="99"/>
        <v>1.5669999999999999</v>
      </c>
      <c r="BC25" s="317" t="s">
        <v>33</v>
      </c>
      <c r="BD25" s="317" t="s">
        <v>33</v>
      </c>
      <c r="BE25" s="317" t="s">
        <v>33</v>
      </c>
      <c r="BF25" s="317" t="s">
        <v>33</v>
      </c>
      <c r="BG25" s="317" t="s">
        <v>33</v>
      </c>
      <c r="BH25" s="317" t="s">
        <v>33</v>
      </c>
      <c r="BI25" s="317" t="s">
        <v>33</v>
      </c>
      <c r="BJ25" s="128">
        <f t="shared" ref="BJ25:BL25" si="104">SUM(BJ26:BJ30)</f>
        <v>1.5669999999999999</v>
      </c>
      <c r="BK25" s="317" t="s">
        <v>33</v>
      </c>
      <c r="BL25" s="128">
        <f t="shared" si="104"/>
        <v>1.68015</v>
      </c>
      <c r="BM25" s="317" t="s">
        <v>33</v>
      </c>
      <c r="BN25" s="317" t="s">
        <v>33</v>
      </c>
      <c r="BO25" s="317" t="s">
        <v>33</v>
      </c>
      <c r="BP25" s="128">
        <f t="shared" ref="BP25" si="105">SUM(BP26:BP30)</f>
        <v>0.16</v>
      </c>
      <c r="BQ25" s="317" t="s">
        <v>33</v>
      </c>
      <c r="BR25" s="128">
        <f t="shared" ref="BR25" si="106">SUM(BR26:BR30)</f>
        <v>2.0659999999999998</v>
      </c>
      <c r="BS25" s="317" t="s">
        <v>33</v>
      </c>
      <c r="BT25" s="317" t="s">
        <v>33</v>
      </c>
      <c r="BU25" s="317" t="s">
        <v>33</v>
      </c>
      <c r="BV25" s="317" t="s">
        <v>33</v>
      </c>
      <c r="BW25" s="317" t="s">
        <v>33</v>
      </c>
      <c r="BX25" s="128">
        <f t="shared" ref="BX25" si="107">SUM(BX26:BX30)</f>
        <v>0.16</v>
      </c>
      <c r="BY25" s="317" t="s">
        <v>33</v>
      </c>
      <c r="BZ25" s="128">
        <f t="shared" ref="BZ25" si="108">SUM(BZ26:BZ30)</f>
        <v>2.0659999999999998</v>
      </c>
      <c r="CA25" s="317" t="s">
        <v>33</v>
      </c>
      <c r="CB25" s="317" t="s">
        <v>33</v>
      </c>
      <c r="CC25" s="317" t="s">
        <v>33</v>
      </c>
      <c r="CD25" s="317" t="s">
        <v>33</v>
      </c>
      <c r="CE25" s="317" t="s">
        <v>33</v>
      </c>
      <c r="CF25" s="317" t="s">
        <v>33</v>
      </c>
      <c r="CG25" s="317" t="s">
        <v>33</v>
      </c>
      <c r="CH25" s="317" t="s">
        <v>33</v>
      </c>
      <c r="CI25" s="317" t="s">
        <v>33</v>
      </c>
      <c r="CJ25" s="317" t="s">
        <v>33</v>
      </c>
      <c r="CK25" s="317" t="s">
        <v>33</v>
      </c>
      <c r="CL25" s="317" t="s">
        <v>33</v>
      </c>
      <c r="CM25" s="317" t="s">
        <v>33</v>
      </c>
      <c r="CN25" s="317" t="s">
        <v>33</v>
      </c>
      <c r="CO25" s="317" t="s">
        <v>33</v>
      </c>
      <c r="CP25" s="317" t="s">
        <v>33</v>
      </c>
      <c r="CQ25" s="317" t="s">
        <v>33</v>
      </c>
      <c r="CR25" s="317" t="s">
        <v>33</v>
      </c>
      <c r="CS25" s="317" t="s">
        <v>33</v>
      </c>
      <c r="CT25" s="317" t="s">
        <v>33</v>
      </c>
      <c r="CU25" s="317" t="s">
        <v>33</v>
      </c>
      <c r="CV25" s="317">
        <f>SUM(CV26:CV30)</f>
        <v>0.41000000000000003</v>
      </c>
      <c r="CW25" s="317" t="s">
        <v>33</v>
      </c>
      <c r="CX25" s="128">
        <f t="shared" ref="CX25" si="109">SUM(CX26:CX30)</f>
        <v>7.5830000000000002</v>
      </c>
      <c r="CY25" s="317" t="s">
        <v>33</v>
      </c>
      <c r="CZ25" s="317" t="s">
        <v>33</v>
      </c>
      <c r="DA25" s="317" t="s">
        <v>33</v>
      </c>
      <c r="DB25" s="317" t="s">
        <v>33</v>
      </c>
      <c r="DC25" s="317" t="s">
        <v>33</v>
      </c>
      <c r="DD25" s="317">
        <f>SUM(DD26:DD30)</f>
        <v>0.41000000000000003</v>
      </c>
      <c r="DE25" s="317" t="s">
        <v>33</v>
      </c>
      <c r="DF25" s="128">
        <f t="shared" ref="DF25" si="110">SUM(DF26:DF30)</f>
        <v>6.9329999999999998</v>
      </c>
      <c r="DG25" s="317" t="s">
        <v>33</v>
      </c>
      <c r="DH25" s="128">
        <f t="shared" ref="DH25" si="111">SUM(DH26:DH30)</f>
        <v>1.68015</v>
      </c>
      <c r="DI25" s="317" t="s">
        <v>33</v>
      </c>
      <c r="DJ25" s="317" t="s">
        <v>33</v>
      </c>
      <c r="DK25" s="317" t="s">
        <v>33</v>
      </c>
      <c r="DL25" s="190" t="str">
        <f t="shared" ref="DB25:DL30" si="112">T25</f>
        <v>нд</v>
      </c>
    </row>
    <row r="26" spans="1:116" s="191" customFormat="1" ht="47.25" x14ac:dyDescent="0.25">
      <c r="A26" s="13" t="s">
        <v>51</v>
      </c>
      <c r="B26" s="236" t="s">
        <v>650</v>
      </c>
      <c r="C26" s="410" t="s">
        <v>1329</v>
      </c>
      <c r="D26" s="317">
        <v>0.25</v>
      </c>
      <c r="E26" s="317" t="s">
        <v>33</v>
      </c>
      <c r="F26" s="567">
        <v>3.95</v>
      </c>
      <c r="G26" s="317" t="s">
        <v>33</v>
      </c>
      <c r="H26" s="317" t="s">
        <v>33</v>
      </c>
      <c r="I26" s="317" t="s">
        <v>33</v>
      </c>
      <c r="J26" s="317" t="s">
        <v>33</v>
      </c>
      <c r="K26" s="317" t="s">
        <v>33</v>
      </c>
      <c r="L26" s="317">
        <v>0.25</v>
      </c>
      <c r="M26" s="317" t="s">
        <v>33</v>
      </c>
      <c r="N26" s="317">
        <v>3.3</v>
      </c>
      <c r="O26" s="317" t="s">
        <v>33</v>
      </c>
      <c r="P26" s="317" t="s">
        <v>33</v>
      </c>
      <c r="Q26" s="317" t="s">
        <v>33</v>
      </c>
      <c r="R26" s="317" t="s">
        <v>33</v>
      </c>
      <c r="S26" s="317" t="s">
        <v>33</v>
      </c>
      <c r="T26" s="317" t="s">
        <v>33</v>
      </c>
      <c r="U26" s="317" t="s">
        <v>33</v>
      </c>
      <c r="V26" s="317" t="s">
        <v>33</v>
      </c>
      <c r="W26" s="317" t="s">
        <v>33</v>
      </c>
      <c r="X26" s="317" t="s">
        <v>33</v>
      </c>
      <c r="Y26" s="317" t="s">
        <v>33</v>
      </c>
      <c r="Z26" s="317" t="s">
        <v>33</v>
      </c>
      <c r="AA26" s="317" t="s">
        <v>33</v>
      </c>
      <c r="AB26" s="317" t="s">
        <v>33</v>
      </c>
      <c r="AC26" s="317" t="s">
        <v>33</v>
      </c>
      <c r="AD26" s="317" t="s">
        <v>33</v>
      </c>
      <c r="AE26" s="317" t="s">
        <v>33</v>
      </c>
      <c r="AF26" s="317" t="s">
        <v>33</v>
      </c>
      <c r="AG26" s="317" t="s">
        <v>33</v>
      </c>
      <c r="AH26" s="317" t="s">
        <v>33</v>
      </c>
      <c r="AI26" s="317" t="s">
        <v>33</v>
      </c>
      <c r="AJ26" s="570">
        <f>D26</f>
        <v>0.25</v>
      </c>
      <c r="AK26" s="533" t="s">
        <v>33</v>
      </c>
      <c r="AL26" s="570">
        <f>F26</f>
        <v>3.95</v>
      </c>
      <c r="AM26" s="533" t="s">
        <v>33</v>
      </c>
      <c r="AN26" s="533" t="s">
        <v>33</v>
      </c>
      <c r="AO26" s="535" t="str">
        <f>I26</f>
        <v>нд</v>
      </c>
      <c r="AP26" s="533" t="s">
        <v>33</v>
      </c>
      <c r="AQ26" s="533" t="s">
        <v>33</v>
      </c>
      <c r="AR26" s="570">
        <f>L26</f>
        <v>0.25</v>
      </c>
      <c r="AS26" s="533" t="s">
        <v>33</v>
      </c>
      <c r="AT26" s="570">
        <f>N26</f>
        <v>3.3</v>
      </c>
      <c r="AU26" s="533" t="s">
        <v>33</v>
      </c>
      <c r="AV26" s="533" t="s">
        <v>33</v>
      </c>
      <c r="AW26" s="533" t="s">
        <v>33</v>
      </c>
      <c r="AX26" s="533" t="s">
        <v>33</v>
      </c>
      <c r="AY26" s="533" t="s">
        <v>33</v>
      </c>
      <c r="AZ26" s="317" t="s">
        <v>33</v>
      </c>
      <c r="BA26" s="317" t="s">
        <v>33</v>
      </c>
      <c r="BB26" s="317" t="s">
        <v>33</v>
      </c>
      <c r="BC26" s="317" t="s">
        <v>33</v>
      </c>
      <c r="BD26" s="317" t="s">
        <v>33</v>
      </c>
      <c r="BE26" s="317" t="s">
        <v>33</v>
      </c>
      <c r="BF26" s="317" t="s">
        <v>33</v>
      </c>
      <c r="BG26" s="317" t="s">
        <v>33</v>
      </c>
      <c r="BH26" s="317" t="s">
        <v>33</v>
      </c>
      <c r="BI26" s="317" t="s">
        <v>33</v>
      </c>
      <c r="BJ26" s="317" t="s">
        <v>33</v>
      </c>
      <c r="BK26" s="317" t="s">
        <v>33</v>
      </c>
      <c r="BL26" s="317" t="s">
        <v>33</v>
      </c>
      <c r="BM26" s="317" t="s">
        <v>33</v>
      </c>
      <c r="BN26" s="317" t="s">
        <v>33</v>
      </c>
      <c r="BO26" s="317" t="s">
        <v>33</v>
      </c>
      <c r="BP26" s="317" t="s">
        <v>33</v>
      </c>
      <c r="BQ26" s="317" t="s">
        <v>33</v>
      </c>
      <c r="BR26" s="317" t="s">
        <v>33</v>
      </c>
      <c r="BS26" s="317" t="s">
        <v>33</v>
      </c>
      <c r="BT26" s="317" t="s">
        <v>33</v>
      </c>
      <c r="BU26" s="317" t="s">
        <v>33</v>
      </c>
      <c r="BV26" s="317" t="s">
        <v>33</v>
      </c>
      <c r="BW26" s="317" t="s">
        <v>33</v>
      </c>
      <c r="BX26" s="317" t="s">
        <v>33</v>
      </c>
      <c r="BY26" s="317" t="s">
        <v>33</v>
      </c>
      <c r="BZ26" s="317" t="s">
        <v>33</v>
      </c>
      <c r="CA26" s="317" t="s">
        <v>33</v>
      </c>
      <c r="CB26" s="317" t="s">
        <v>33</v>
      </c>
      <c r="CC26" s="317" t="s">
        <v>33</v>
      </c>
      <c r="CD26" s="317" t="s">
        <v>33</v>
      </c>
      <c r="CE26" s="317" t="s">
        <v>33</v>
      </c>
      <c r="CF26" s="317" t="s">
        <v>33</v>
      </c>
      <c r="CG26" s="317" t="s">
        <v>33</v>
      </c>
      <c r="CH26" s="317" t="s">
        <v>33</v>
      </c>
      <c r="CI26" s="317" t="s">
        <v>33</v>
      </c>
      <c r="CJ26" s="317" t="s">
        <v>33</v>
      </c>
      <c r="CK26" s="317" t="s">
        <v>33</v>
      </c>
      <c r="CL26" s="317" t="s">
        <v>33</v>
      </c>
      <c r="CM26" s="317" t="s">
        <v>33</v>
      </c>
      <c r="CN26" s="317" t="s">
        <v>33</v>
      </c>
      <c r="CO26" s="317" t="s">
        <v>33</v>
      </c>
      <c r="CP26" s="317" t="s">
        <v>33</v>
      </c>
      <c r="CQ26" s="317" t="s">
        <v>33</v>
      </c>
      <c r="CR26" s="317" t="s">
        <v>33</v>
      </c>
      <c r="CS26" s="317" t="s">
        <v>33</v>
      </c>
      <c r="CT26" s="317" t="s">
        <v>33</v>
      </c>
      <c r="CU26" s="317" t="s">
        <v>33</v>
      </c>
      <c r="CV26" s="533">
        <f t="shared" ref="CV26:CV30" si="113">D26</f>
        <v>0.25</v>
      </c>
      <c r="CW26" s="533" t="s">
        <v>33</v>
      </c>
      <c r="CX26" s="535">
        <f>F26</f>
        <v>3.95</v>
      </c>
      <c r="CY26" s="533" t="s">
        <v>33</v>
      </c>
      <c r="CZ26" s="533" t="s">
        <v>33</v>
      </c>
      <c r="DA26" s="535" t="str">
        <f>I26</f>
        <v>нд</v>
      </c>
      <c r="DB26" s="535" t="str">
        <f t="shared" si="112"/>
        <v>нд</v>
      </c>
      <c r="DC26" s="535" t="str">
        <f t="shared" si="112"/>
        <v>нд</v>
      </c>
      <c r="DD26" s="535">
        <f t="shared" si="112"/>
        <v>0.25</v>
      </c>
      <c r="DE26" s="535" t="str">
        <f t="shared" si="112"/>
        <v>нд</v>
      </c>
      <c r="DF26" s="535">
        <f t="shared" si="112"/>
        <v>3.3</v>
      </c>
      <c r="DG26" s="535" t="str">
        <f t="shared" si="112"/>
        <v>нд</v>
      </c>
      <c r="DH26" s="535" t="str">
        <f t="shared" si="112"/>
        <v>нд</v>
      </c>
      <c r="DI26" s="535" t="str">
        <f t="shared" si="112"/>
        <v>нд</v>
      </c>
      <c r="DJ26" s="535" t="str">
        <f t="shared" si="112"/>
        <v>нд</v>
      </c>
      <c r="DK26" s="535" t="str">
        <f t="shared" si="112"/>
        <v>нд</v>
      </c>
      <c r="DL26" s="190" t="str">
        <f t="shared" si="112"/>
        <v>нд</v>
      </c>
    </row>
    <row r="27" spans="1:116" s="191" customFormat="1" x14ac:dyDescent="0.25">
      <c r="A27" s="13" t="s">
        <v>578</v>
      </c>
      <c r="B27" s="236" t="s">
        <v>651</v>
      </c>
      <c r="C27" s="410" t="s">
        <v>1349</v>
      </c>
      <c r="D27" s="317" t="s">
        <v>33</v>
      </c>
      <c r="E27" s="317" t="s">
        <v>33</v>
      </c>
      <c r="F27" s="567">
        <v>0.74199999999999999</v>
      </c>
      <c r="G27" s="317" t="s">
        <v>33</v>
      </c>
      <c r="H27" s="317" t="s">
        <v>33</v>
      </c>
      <c r="I27" s="317" t="s">
        <v>33</v>
      </c>
      <c r="J27" s="317" t="s">
        <v>33</v>
      </c>
      <c r="K27" s="317" t="s">
        <v>33</v>
      </c>
      <c r="L27" s="317" t="s">
        <v>33</v>
      </c>
      <c r="M27" s="317" t="s">
        <v>33</v>
      </c>
      <c r="N27" s="317">
        <f>F27</f>
        <v>0.74199999999999999</v>
      </c>
      <c r="O27" s="317" t="s">
        <v>33</v>
      </c>
      <c r="P27" s="317" t="s">
        <v>33</v>
      </c>
      <c r="Q27" s="317" t="s">
        <v>33</v>
      </c>
      <c r="R27" s="317" t="s">
        <v>33</v>
      </c>
      <c r="S27" s="317" t="s">
        <v>33</v>
      </c>
      <c r="T27" s="317" t="s">
        <v>33</v>
      </c>
      <c r="U27" s="317" t="s">
        <v>33</v>
      </c>
      <c r="V27" s="317" t="s">
        <v>33</v>
      </c>
      <c r="W27" s="317" t="s">
        <v>33</v>
      </c>
      <c r="X27" s="317" t="s">
        <v>33</v>
      </c>
      <c r="Y27" s="317" t="s">
        <v>33</v>
      </c>
      <c r="Z27" s="317" t="s">
        <v>33</v>
      </c>
      <c r="AA27" s="317" t="s">
        <v>33</v>
      </c>
      <c r="AB27" s="317" t="s">
        <v>33</v>
      </c>
      <c r="AC27" s="317" t="s">
        <v>33</v>
      </c>
      <c r="AD27" s="317" t="s">
        <v>33</v>
      </c>
      <c r="AE27" s="317" t="s">
        <v>33</v>
      </c>
      <c r="AF27" s="317" t="s">
        <v>33</v>
      </c>
      <c r="AG27" s="317" t="s">
        <v>33</v>
      </c>
      <c r="AH27" s="317" t="s">
        <v>33</v>
      </c>
      <c r="AI27" s="317" t="s">
        <v>33</v>
      </c>
      <c r="AJ27" s="317" t="s">
        <v>33</v>
      </c>
      <c r="AK27" s="317" t="s">
        <v>33</v>
      </c>
      <c r="AL27" s="317" t="s">
        <v>33</v>
      </c>
      <c r="AM27" s="317" t="s">
        <v>33</v>
      </c>
      <c r="AN27" s="317" t="s">
        <v>33</v>
      </c>
      <c r="AO27" s="317" t="s">
        <v>33</v>
      </c>
      <c r="AP27" s="317" t="s">
        <v>33</v>
      </c>
      <c r="AQ27" s="317" t="s">
        <v>33</v>
      </c>
      <c r="AR27" s="317" t="s">
        <v>33</v>
      </c>
      <c r="AS27" s="317" t="s">
        <v>33</v>
      </c>
      <c r="AT27" s="317" t="s">
        <v>33</v>
      </c>
      <c r="AU27" s="317" t="s">
        <v>33</v>
      </c>
      <c r="AV27" s="317" t="s">
        <v>33</v>
      </c>
      <c r="AW27" s="317" t="s">
        <v>33</v>
      </c>
      <c r="AX27" s="317" t="s">
        <v>33</v>
      </c>
      <c r="AY27" s="317" t="s">
        <v>33</v>
      </c>
      <c r="AZ27" s="533" t="s">
        <v>33</v>
      </c>
      <c r="BA27" s="533" t="s">
        <v>33</v>
      </c>
      <c r="BB27" s="533">
        <f>F27</f>
        <v>0.74199999999999999</v>
      </c>
      <c r="BC27" s="533" t="s">
        <v>33</v>
      </c>
      <c r="BD27" s="533" t="s">
        <v>33</v>
      </c>
      <c r="BE27" s="533" t="s">
        <v>33</v>
      </c>
      <c r="BF27" s="533" t="s">
        <v>33</v>
      </c>
      <c r="BG27" s="533" t="s">
        <v>33</v>
      </c>
      <c r="BH27" s="533" t="s">
        <v>33</v>
      </c>
      <c r="BI27" s="533" t="s">
        <v>33</v>
      </c>
      <c r="BJ27" s="533">
        <f>N27</f>
        <v>0.74199999999999999</v>
      </c>
      <c r="BK27" s="533" t="s">
        <v>33</v>
      </c>
      <c r="BL27" s="533" t="s">
        <v>33</v>
      </c>
      <c r="BM27" s="533" t="s">
        <v>33</v>
      </c>
      <c r="BN27" s="533" t="s">
        <v>33</v>
      </c>
      <c r="BO27" s="533" t="s">
        <v>33</v>
      </c>
      <c r="BP27" s="317" t="s">
        <v>33</v>
      </c>
      <c r="BQ27" s="317" t="s">
        <v>33</v>
      </c>
      <c r="BR27" s="317" t="s">
        <v>33</v>
      </c>
      <c r="BS27" s="317" t="s">
        <v>33</v>
      </c>
      <c r="BT27" s="317" t="s">
        <v>33</v>
      </c>
      <c r="BU27" s="317" t="s">
        <v>33</v>
      </c>
      <c r="BV27" s="317" t="s">
        <v>33</v>
      </c>
      <c r="BW27" s="317" t="s">
        <v>33</v>
      </c>
      <c r="BX27" s="317" t="s">
        <v>33</v>
      </c>
      <c r="BY27" s="317" t="s">
        <v>33</v>
      </c>
      <c r="BZ27" s="317" t="s">
        <v>33</v>
      </c>
      <c r="CA27" s="317" t="s">
        <v>33</v>
      </c>
      <c r="CB27" s="317" t="s">
        <v>33</v>
      </c>
      <c r="CC27" s="317" t="s">
        <v>33</v>
      </c>
      <c r="CD27" s="317" t="s">
        <v>33</v>
      </c>
      <c r="CE27" s="317" t="s">
        <v>33</v>
      </c>
      <c r="CF27" s="317" t="s">
        <v>33</v>
      </c>
      <c r="CG27" s="317" t="s">
        <v>33</v>
      </c>
      <c r="CH27" s="317" t="s">
        <v>33</v>
      </c>
      <c r="CI27" s="317" t="s">
        <v>33</v>
      </c>
      <c r="CJ27" s="317" t="s">
        <v>33</v>
      </c>
      <c r="CK27" s="317" t="s">
        <v>33</v>
      </c>
      <c r="CL27" s="317" t="s">
        <v>33</v>
      </c>
      <c r="CM27" s="317" t="s">
        <v>33</v>
      </c>
      <c r="CN27" s="317" t="s">
        <v>33</v>
      </c>
      <c r="CO27" s="317" t="s">
        <v>33</v>
      </c>
      <c r="CP27" s="317" t="s">
        <v>33</v>
      </c>
      <c r="CQ27" s="317" t="s">
        <v>33</v>
      </c>
      <c r="CR27" s="317" t="s">
        <v>33</v>
      </c>
      <c r="CS27" s="317" t="s">
        <v>33</v>
      </c>
      <c r="CT27" s="317" t="s">
        <v>33</v>
      </c>
      <c r="CU27" s="317" t="s">
        <v>33</v>
      </c>
      <c r="CV27" s="533" t="str">
        <f t="shared" si="113"/>
        <v>нд</v>
      </c>
      <c r="CW27" s="533" t="s">
        <v>33</v>
      </c>
      <c r="CX27" s="535">
        <f>F27</f>
        <v>0.74199999999999999</v>
      </c>
      <c r="CY27" s="533" t="s">
        <v>33</v>
      </c>
      <c r="CZ27" s="533" t="s">
        <v>33</v>
      </c>
      <c r="DA27" s="533" t="s">
        <v>33</v>
      </c>
      <c r="DB27" s="535" t="str">
        <f t="shared" si="112"/>
        <v>нд</v>
      </c>
      <c r="DC27" s="535" t="str">
        <f t="shared" si="112"/>
        <v>нд</v>
      </c>
      <c r="DD27" s="535" t="str">
        <f t="shared" si="112"/>
        <v>нд</v>
      </c>
      <c r="DE27" s="535" t="str">
        <f t="shared" si="112"/>
        <v>нд</v>
      </c>
      <c r="DF27" s="535">
        <f t="shared" si="112"/>
        <v>0.74199999999999999</v>
      </c>
      <c r="DG27" s="535" t="str">
        <f t="shared" si="112"/>
        <v>нд</v>
      </c>
      <c r="DH27" s="535" t="str">
        <f t="shared" si="112"/>
        <v>нд</v>
      </c>
      <c r="DI27" s="535" t="str">
        <f t="shared" si="112"/>
        <v>нд</v>
      </c>
      <c r="DJ27" s="535" t="str">
        <f t="shared" si="112"/>
        <v>нд</v>
      </c>
      <c r="DK27" s="535" t="str">
        <f t="shared" si="112"/>
        <v>нд</v>
      </c>
      <c r="DL27" s="190" t="str">
        <f t="shared" si="112"/>
        <v>нд</v>
      </c>
    </row>
    <row r="28" spans="1:116" s="191" customFormat="1" x14ac:dyDescent="0.25">
      <c r="A28" s="13" t="s">
        <v>580</v>
      </c>
      <c r="B28" s="236" t="s">
        <v>652</v>
      </c>
      <c r="C28" s="410" t="s">
        <v>1350</v>
      </c>
      <c r="D28" s="317" t="s">
        <v>33</v>
      </c>
      <c r="E28" s="317" t="s">
        <v>33</v>
      </c>
      <c r="F28" s="567">
        <v>0.82499999999999996</v>
      </c>
      <c r="G28" s="317" t="s">
        <v>33</v>
      </c>
      <c r="H28" s="317" t="s">
        <v>33</v>
      </c>
      <c r="I28" s="317" t="s">
        <v>33</v>
      </c>
      <c r="J28" s="317" t="s">
        <v>33</v>
      </c>
      <c r="K28" s="317" t="s">
        <v>33</v>
      </c>
      <c r="L28" s="317" t="s">
        <v>33</v>
      </c>
      <c r="M28" s="317" t="s">
        <v>33</v>
      </c>
      <c r="N28" s="317">
        <f>F28</f>
        <v>0.82499999999999996</v>
      </c>
      <c r="O28" s="317" t="s">
        <v>33</v>
      </c>
      <c r="P28" s="317" t="s">
        <v>33</v>
      </c>
      <c r="Q28" s="317" t="s">
        <v>33</v>
      </c>
      <c r="R28" s="317" t="s">
        <v>33</v>
      </c>
      <c r="S28" s="317" t="s">
        <v>33</v>
      </c>
      <c r="T28" s="317" t="s">
        <v>33</v>
      </c>
      <c r="U28" s="317" t="s">
        <v>33</v>
      </c>
      <c r="V28" s="317" t="s">
        <v>33</v>
      </c>
      <c r="W28" s="317" t="s">
        <v>33</v>
      </c>
      <c r="X28" s="317" t="s">
        <v>33</v>
      </c>
      <c r="Y28" s="317" t="s">
        <v>33</v>
      </c>
      <c r="Z28" s="317" t="s">
        <v>33</v>
      </c>
      <c r="AA28" s="317" t="s">
        <v>33</v>
      </c>
      <c r="AB28" s="317" t="s">
        <v>33</v>
      </c>
      <c r="AC28" s="317" t="s">
        <v>33</v>
      </c>
      <c r="AD28" s="317" t="s">
        <v>33</v>
      </c>
      <c r="AE28" s="317" t="s">
        <v>33</v>
      </c>
      <c r="AF28" s="317" t="s">
        <v>33</v>
      </c>
      <c r="AG28" s="317" t="s">
        <v>33</v>
      </c>
      <c r="AH28" s="317" t="s">
        <v>33</v>
      </c>
      <c r="AI28" s="317" t="s">
        <v>33</v>
      </c>
      <c r="AJ28" s="317" t="s">
        <v>33</v>
      </c>
      <c r="AK28" s="317" t="s">
        <v>33</v>
      </c>
      <c r="AL28" s="317" t="s">
        <v>33</v>
      </c>
      <c r="AM28" s="317" t="s">
        <v>33</v>
      </c>
      <c r="AN28" s="317" t="s">
        <v>33</v>
      </c>
      <c r="AO28" s="317" t="s">
        <v>33</v>
      </c>
      <c r="AP28" s="317" t="s">
        <v>33</v>
      </c>
      <c r="AQ28" s="317" t="s">
        <v>33</v>
      </c>
      <c r="AR28" s="317" t="s">
        <v>33</v>
      </c>
      <c r="AS28" s="317" t="s">
        <v>33</v>
      </c>
      <c r="AT28" s="317" t="s">
        <v>33</v>
      </c>
      <c r="AU28" s="317" t="s">
        <v>33</v>
      </c>
      <c r="AV28" s="317" t="s">
        <v>33</v>
      </c>
      <c r="AW28" s="317" t="s">
        <v>33</v>
      </c>
      <c r="AX28" s="317" t="s">
        <v>33</v>
      </c>
      <c r="AY28" s="317" t="s">
        <v>33</v>
      </c>
      <c r="AZ28" s="533" t="s">
        <v>33</v>
      </c>
      <c r="BA28" s="533" t="s">
        <v>33</v>
      </c>
      <c r="BB28" s="533">
        <f>F28</f>
        <v>0.82499999999999996</v>
      </c>
      <c r="BC28" s="533" t="s">
        <v>33</v>
      </c>
      <c r="BD28" s="533" t="s">
        <v>33</v>
      </c>
      <c r="BE28" s="533" t="s">
        <v>33</v>
      </c>
      <c r="BF28" s="533" t="s">
        <v>33</v>
      </c>
      <c r="BG28" s="533" t="s">
        <v>33</v>
      </c>
      <c r="BH28" s="533" t="s">
        <v>33</v>
      </c>
      <c r="BI28" s="533" t="s">
        <v>33</v>
      </c>
      <c r="BJ28" s="533">
        <f>N28</f>
        <v>0.82499999999999996</v>
      </c>
      <c r="BK28" s="533" t="s">
        <v>33</v>
      </c>
      <c r="BL28" s="533" t="s">
        <v>33</v>
      </c>
      <c r="BM28" s="533" t="s">
        <v>33</v>
      </c>
      <c r="BN28" s="533" t="s">
        <v>33</v>
      </c>
      <c r="BO28" s="533" t="s">
        <v>33</v>
      </c>
      <c r="BP28" s="317" t="s">
        <v>33</v>
      </c>
      <c r="BQ28" s="317" t="s">
        <v>33</v>
      </c>
      <c r="BR28" s="317" t="s">
        <v>33</v>
      </c>
      <c r="BS28" s="317" t="s">
        <v>33</v>
      </c>
      <c r="BT28" s="317" t="s">
        <v>33</v>
      </c>
      <c r="BU28" s="317" t="s">
        <v>33</v>
      </c>
      <c r="BV28" s="317" t="s">
        <v>33</v>
      </c>
      <c r="BW28" s="317" t="s">
        <v>33</v>
      </c>
      <c r="BX28" s="317" t="s">
        <v>33</v>
      </c>
      <c r="BY28" s="317" t="s">
        <v>33</v>
      </c>
      <c r="BZ28" s="317" t="s">
        <v>33</v>
      </c>
      <c r="CA28" s="317" t="s">
        <v>33</v>
      </c>
      <c r="CB28" s="317" t="s">
        <v>33</v>
      </c>
      <c r="CC28" s="317" t="s">
        <v>33</v>
      </c>
      <c r="CD28" s="317" t="s">
        <v>33</v>
      </c>
      <c r="CE28" s="317" t="s">
        <v>33</v>
      </c>
      <c r="CF28" s="317" t="s">
        <v>33</v>
      </c>
      <c r="CG28" s="317" t="s">
        <v>33</v>
      </c>
      <c r="CH28" s="317" t="s">
        <v>33</v>
      </c>
      <c r="CI28" s="317" t="s">
        <v>33</v>
      </c>
      <c r="CJ28" s="317" t="s">
        <v>33</v>
      </c>
      <c r="CK28" s="317" t="s">
        <v>33</v>
      </c>
      <c r="CL28" s="317" t="s">
        <v>33</v>
      </c>
      <c r="CM28" s="317" t="s">
        <v>33</v>
      </c>
      <c r="CN28" s="317" t="s">
        <v>33</v>
      </c>
      <c r="CO28" s="317" t="s">
        <v>33</v>
      </c>
      <c r="CP28" s="317" t="s">
        <v>33</v>
      </c>
      <c r="CQ28" s="317" t="s">
        <v>33</v>
      </c>
      <c r="CR28" s="317" t="s">
        <v>33</v>
      </c>
      <c r="CS28" s="317" t="s">
        <v>33</v>
      </c>
      <c r="CT28" s="317" t="s">
        <v>33</v>
      </c>
      <c r="CU28" s="317" t="s">
        <v>33</v>
      </c>
      <c r="CV28" s="533" t="str">
        <f t="shared" si="113"/>
        <v>нд</v>
      </c>
      <c r="CW28" s="533" t="s">
        <v>33</v>
      </c>
      <c r="CX28" s="535">
        <f>F28</f>
        <v>0.82499999999999996</v>
      </c>
      <c r="CY28" s="533" t="s">
        <v>33</v>
      </c>
      <c r="CZ28" s="533" t="s">
        <v>33</v>
      </c>
      <c r="DA28" s="533" t="s">
        <v>33</v>
      </c>
      <c r="DB28" s="535" t="str">
        <f t="shared" si="112"/>
        <v>нд</v>
      </c>
      <c r="DC28" s="535" t="str">
        <f t="shared" si="112"/>
        <v>нд</v>
      </c>
      <c r="DD28" s="535" t="str">
        <f t="shared" si="112"/>
        <v>нд</v>
      </c>
      <c r="DE28" s="535" t="str">
        <f t="shared" si="112"/>
        <v>нд</v>
      </c>
      <c r="DF28" s="535">
        <f t="shared" si="112"/>
        <v>0.82499999999999996</v>
      </c>
      <c r="DG28" s="535" t="str">
        <f t="shared" si="112"/>
        <v>нд</v>
      </c>
      <c r="DH28" s="535" t="str">
        <f t="shared" si="112"/>
        <v>нд</v>
      </c>
      <c r="DI28" s="535" t="str">
        <f t="shared" si="112"/>
        <v>нд</v>
      </c>
      <c r="DJ28" s="535" t="str">
        <f t="shared" si="112"/>
        <v>нд</v>
      </c>
      <c r="DK28" s="535" t="str">
        <f t="shared" si="112"/>
        <v>нд</v>
      </c>
      <c r="DL28" s="190" t="str">
        <f t="shared" si="112"/>
        <v>нд</v>
      </c>
    </row>
    <row r="29" spans="1:116" s="191" customFormat="1" ht="31.5" x14ac:dyDescent="0.25">
      <c r="A29" s="13" t="s">
        <v>581</v>
      </c>
      <c r="B29" s="236" t="s">
        <v>1340</v>
      </c>
      <c r="C29" s="410" t="s">
        <v>1351</v>
      </c>
      <c r="D29" s="317" t="s">
        <v>33</v>
      </c>
      <c r="E29" s="317" t="s">
        <v>33</v>
      </c>
      <c r="F29" s="568" t="s">
        <v>33</v>
      </c>
      <c r="G29" s="317" t="s">
        <v>33</v>
      </c>
      <c r="H29" s="317" t="s">
        <v>33</v>
      </c>
      <c r="I29" s="317" t="s">
        <v>33</v>
      </c>
      <c r="J29" s="317" t="s">
        <v>33</v>
      </c>
      <c r="K29" s="317" t="s">
        <v>33</v>
      </c>
      <c r="L29" s="317" t="s">
        <v>33</v>
      </c>
      <c r="M29" s="317" t="s">
        <v>33</v>
      </c>
      <c r="N29" s="317" t="s">
        <v>33</v>
      </c>
      <c r="O29" s="317" t="s">
        <v>33</v>
      </c>
      <c r="P29" s="317">
        <v>1.68015</v>
      </c>
      <c r="Q29" s="317" t="s">
        <v>33</v>
      </c>
      <c r="R29" s="317" t="s">
        <v>33</v>
      </c>
      <c r="S29" s="317" t="s">
        <v>33</v>
      </c>
      <c r="T29" s="317" t="s">
        <v>33</v>
      </c>
      <c r="U29" s="317" t="s">
        <v>33</v>
      </c>
      <c r="V29" s="317" t="s">
        <v>33</v>
      </c>
      <c r="W29" s="317" t="s">
        <v>33</v>
      </c>
      <c r="X29" s="317" t="s">
        <v>33</v>
      </c>
      <c r="Y29" s="317" t="s">
        <v>33</v>
      </c>
      <c r="Z29" s="317" t="s">
        <v>33</v>
      </c>
      <c r="AA29" s="317" t="s">
        <v>33</v>
      </c>
      <c r="AB29" s="317" t="s">
        <v>33</v>
      </c>
      <c r="AC29" s="317" t="s">
        <v>33</v>
      </c>
      <c r="AD29" s="317" t="s">
        <v>33</v>
      </c>
      <c r="AE29" s="317" t="s">
        <v>33</v>
      </c>
      <c r="AF29" s="317" t="s">
        <v>33</v>
      </c>
      <c r="AG29" s="317" t="s">
        <v>33</v>
      </c>
      <c r="AH29" s="317" t="s">
        <v>33</v>
      </c>
      <c r="AI29" s="317" t="s">
        <v>33</v>
      </c>
      <c r="AJ29" s="317" t="s">
        <v>33</v>
      </c>
      <c r="AK29" s="317" t="s">
        <v>33</v>
      </c>
      <c r="AL29" s="317" t="s">
        <v>33</v>
      </c>
      <c r="AM29" s="317" t="s">
        <v>33</v>
      </c>
      <c r="AN29" s="317" t="s">
        <v>33</v>
      </c>
      <c r="AO29" s="317" t="s">
        <v>33</v>
      </c>
      <c r="AP29" s="317" t="s">
        <v>33</v>
      </c>
      <c r="AQ29" s="317" t="s">
        <v>33</v>
      </c>
      <c r="AR29" s="317" t="s">
        <v>33</v>
      </c>
      <c r="AS29" s="317" t="s">
        <v>33</v>
      </c>
      <c r="AT29" s="317" t="s">
        <v>33</v>
      </c>
      <c r="AU29" s="317" t="s">
        <v>33</v>
      </c>
      <c r="AV29" s="317" t="s">
        <v>33</v>
      </c>
      <c r="AW29" s="317" t="s">
        <v>33</v>
      </c>
      <c r="AX29" s="317" t="s">
        <v>33</v>
      </c>
      <c r="AY29" s="317" t="s">
        <v>33</v>
      </c>
      <c r="AZ29" s="533" t="s">
        <v>33</v>
      </c>
      <c r="BA29" s="533" t="s">
        <v>33</v>
      </c>
      <c r="BB29" s="533" t="str">
        <f>F29</f>
        <v>нд</v>
      </c>
      <c r="BC29" s="533" t="s">
        <v>33</v>
      </c>
      <c r="BD29" s="533" t="s">
        <v>33</v>
      </c>
      <c r="BE29" s="533" t="s">
        <v>33</v>
      </c>
      <c r="BF29" s="533" t="s">
        <v>33</v>
      </c>
      <c r="BG29" s="533" t="s">
        <v>33</v>
      </c>
      <c r="BH29" s="533" t="s">
        <v>33</v>
      </c>
      <c r="BI29" s="533" t="s">
        <v>33</v>
      </c>
      <c r="BJ29" s="533" t="s">
        <v>33</v>
      </c>
      <c r="BK29" s="533" t="s">
        <v>33</v>
      </c>
      <c r="BL29" s="533">
        <f>P29</f>
        <v>1.68015</v>
      </c>
      <c r="BM29" s="533" t="s">
        <v>33</v>
      </c>
      <c r="BN29" s="533" t="s">
        <v>33</v>
      </c>
      <c r="BO29" s="533" t="s">
        <v>33</v>
      </c>
      <c r="BP29" s="317" t="s">
        <v>33</v>
      </c>
      <c r="BQ29" s="317" t="s">
        <v>33</v>
      </c>
      <c r="BR29" s="317" t="s">
        <v>33</v>
      </c>
      <c r="BS29" s="317" t="s">
        <v>33</v>
      </c>
      <c r="BT29" s="317" t="s">
        <v>33</v>
      </c>
      <c r="BU29" s="317" t="s">
        <v>33</v>
      </c>
      <c r="BV29" s="317" t="s">
        <v>33</v>
      </c>
      <c r="BW29" s="317" t="s">
        <v>33</v>
      </c>
      <c r="BX29" s="317" t="s">
        <v>33</v>
      </c>
      <c r="BY29" s="317" t="s">
        <v>33</v>
      </c>
      <c r="BZ29" s="317" t="s">
        <v>33</v>
      </c>
      <c r="CA29" s="317" t="s">
        <v>33</v>
      </c>
      <c r="CB29" s="317" t="s">
        <v>33</v>
      </c>
      <c r="CC29" s="317" t="s">
        <v>33</v>
      </c>
      <c r="CD29" s="317" t="s">
        <v>33</v>
      </c>
      <c r="CE29" s="317" t="s">
        <v>33</v>
      </c>
      <c r="CF29" s="317" t="s">
        <v>33</v>
      </c>
      <c r="CG29" s="317" t="s">
        <v>33</v>
      </c>
      <c r="CH29" s="317" t="s">
        <v>33</v>
      </c>
      <c r="CI29" s="317" t="s">
        <v>33</v>
      </c>
      <c r="CJ29" s="317" t="s">
        <v>33</v>
      </c>
      <c r="CK29" s="317" t="s">
        <v>33</v>
      </c>
      <c r="CL29" s="317" t="s">
        <v>33</v>
      </c>
      <c r="CM29" s="317" t="s">
        <v>33</v>
      </c>
      <c r="CN29" s="317" t="s">
        <v>33</v>
      </c>
      <c r="CO29" s="317" t="s">
        <v>33</v>
      </c>
      <c r="CP29" s="317" t="s">
        <v>33</v>
      </c>
      <c r="CQ29" s="317" t="s">
        <v>33</v>
      </c>
      <c r="CR29" s="317" t="s">
        <v>33</v>
      </c>
      <c r="CS29" s="317" t="s">
        <v>33</v>
      </c>
      <c r="CT29" s="317" t="s">
        <v>33</v>
      </c>
      <c r="CU29" s="317" t="s">
        <v>33</v>
      </c>
      <c r="CV29" s="533" t="str">
        <f t="shared" si="113"/>
        <v>нд</v>
      </c>
      <c r="CW29" s="533" t="s">
        <v>33</v>
      </c>
      <c r="CX29" s="535" t="str">
        <f>F29</f>
        <v>нд</v>
      </c>
      <c r="CY29" s="533" t="s">
        <v>33</v>
      </c>
      <c r="CZ29" s="533" t="s">
        <v>33</v>
      </c>
      <c r="DA29" s="533" t="s">
        <v>33</v>
      </c>
      <c r="DB29" s="535" t="str">
        <f t="shared" ref="DB29" si="114">J29</f>
        <v>нд</v>
      </c>
      <c r="DC29" s="535" t="str">
        <f t="shared" ref="DC29" si="115">K29</f>
        <v>нд</v>
      </c>
      <c r="DD29" s="535" t="str">
        <f t="shared" ref="DD29" si="116">L29</f>
        <v>нд</v>
      </c>
      <c r="DE29" s="535" t="str">
        <f t="shared" ref="DE29" si="117">M29</f>
        <v>нд</v>
      </c>
      <c r="DF29" s="535" t="str">
        <f t="shared" ref="DF29" si="118">N29</f>
        <v>нд</v>
      </c>
      <c r="DG29" s="535" t="str">
        <f t="shared" ref="DG29" si="119">O29</f>
        <v>нд</v>
      </c>
      <c r="DH29" s="535">
        <f t="shared" ref="DH29" si="120">P29</f>
        <v>1.68015</v>
      </c>
      <c r="DI29" s="535" t="str">
        <f t="shared" ref="DI29" si="121">Q29</f>
        <v>нд</v>
      </c>
      <c r="DJ29" s="535" t="str">
        <f t="shared" ref="DJ29" si="122">R29</f>
        <v>нд</v>
      </c>
      <c r="DK29" s="535" t="str">
        <f t="shared" ref="DK29" si="123">S29</f>
        <v>нд</v>
      </c>
      <c r="DL29" s="190" t="str">
        <f t="shared" ref="DL29" si="124">T29</f>
        <v>нд</v>
      </c>
    </row>
    <row r="30" spans="1:116" s="191" customFormat="1" ht="47.25" x14ac:dyDescent="0.25">
      <c r="A30" s="13" t="s">
        <v>1368</v>
      </c>
      <c r="B30" s="236" t="s">
        <v>653</v>
      </c>
      <c r="C30" s="410" t="s">
        <v>640</v>
      </c>
      <c r="D30" s="317">
        <v>0.16</v>
      </c>
      <c r="E30" s="317" t="s">
        <v>33</v>
      </c>
      <c r="F30" s="567">
        <v>2.0659999999999998</v>
      </c>
      <c r="G30" s="317" t="s">
        <v>33</v>
      </c>
      <c r="H30" s="317" t="s">
        <v>33</v>
      </c>
      <c r="I30" s="317" t="s">
        <v>33</v>
      </c>
      <c r="J30" s="317" t="s">
        <v>33</v>
      </c>
      <c r="K30" s="317" t="s">
        <v>33</v>
      </c>
      <c r="L30" s="317">
        <v>0.16</v>
      </c>
      <c r="M30" s="317" t="s">
        <v>33</v>
      </c>
      <c r="N30" s="317">
        <f>F30</f>
        <v>2.0659999999999998</v>
      </c>
      <c r="O30" s="317" t="s">
        <v>33</v>
      </c>
      <c r="P30" s="317" t="s">
        <v>33</v>
      </c>
      <c r="Q30" s="317" t="s">
        <v>33</v>
      </c>
      <c r="R30" s="317" t="s">
        <v>33</v>
      </c>
      <c r="S30" s="317" t="s">
        <v>33</v>
      </c>
      <c r="T30" s="317" t="s">
        <v>33</v>
      </c>
      <c r="U30" s="317" t="s">
        <v>33</v>
      </c>
      <c r="V30" s="317" t="s">
        <v>33</v>
      </c>
      <c r="W30" s="317" t="s">
        <v>33</v>
      </c>
      <c r="X30" s="317" t="s">
        <v>33</v>
      </c>
      <c r="Y30" s="317" t="s">
        <v>33</v>
      </c>
      <c r="Z30" s="317" t="s">
        <v>33</v>
      </c>
      <c r="AA30" s="317" t="s">
        <v>33</v>
      </c>
      <c r="AB30" s="317" t="s">
        <v>33</v>
      </c>
      <c r="AC30" s="317" t="s">
        <v>33</v>
      </c>
      <c r="AD30" s="317" t="s">
        <v>33</v>
      </c>
      <c r="AE30" s="317" t="s">
        <v>33</v>
      </c>
      <c r="AF30" s="317" t="s">
        <v>33</v>
      </c>
      <c r="AG30" s="317" t="s">
        <v>33</v>
      </c>
      <c r="AH30" s="317" t="s">
        <v>33</v>
      </c>
      <c r="AI30" s="317" t="s">
        <v>33</v>
      </c>
      <c r="AJ30" s="317" t="s">
        <v>33</v>
      </c>
      <c r="AK30" s="317" t="s">
        <v>33</v>
      </c>
      <c r="AL30" s="317" t="s">
        <v>33</v>
      </c>
      <c r="AM30" s="317" t="s">
        <v>33</v>
      </c>
      <c r="AN30" s="317" t="s">
        <v>33</v>
      </c>
      <c r="AO30" s="317" t="s">
        <v>33</v>
      </c>
      <c r="AP30" s="317" t="s">
        <v>33</v>
      </c>
      <c r="AQ30" s="317" t="s">
        <v>33</v>
      </c>
      <c r="AR30" s="317" t="s">
        <v>33</v>
      </c>
      <c r="AS30" s="317" t="s">
        <v>33</v>
      </c>
      <c r="AT30" s="317" t="s">
        <v>33</v>
      </c>
      <c r="AU30" s="317" t="s">
        <v>33</v>
      </c>
      <c r="AV30" s="317" t="s">
        <v>33</v>
      </c>
      <c r="AW30" s="317" t="s">
        <v>33</v>
      </c>
      <c r="AX30" s="317" t="s">
        <v>33</v>
      </c>
      <c r="AY30" s="317" t="s">
        <v>33</v>
      </c>
      <c r="AZ30" s="317" t="s">
        <v>33</v>
      </c>
      <c r="BA30" s="317" t="s">
        <v>33</v>
      </c>
      <c r="BB30" s="317" t="s">
        <v>33</v>
      </c>
      <c r="BC30" s="317" t="s">
        <v>33</v>
      </c>
      <c r="BD30" s="317" t="s">
        <v>33</v>
      </c>
      <c r="BE30" s="317" t="s">
        <v>33</v>
      </c>
      <c r="BF30" s="317" t="s">
        <v>33</v>
      </c>
      <c r="BG30" s="317" t="s">
        <v>33</v>
      </c>
      <c r="BH30" s="317" t="s">
        <v>33</v>
      </c>
      <c r="BI30" s="317" t="s">
        <v>33</v>
      </c>
      <c r="BJ30" s="317" t="s">
        <v>33</v>
      </c>
      <c r="BK30" s="317" t="s">
        <v>33</v>
      </c>
      <c r="BL30" s="317" t="s">
        <v>33</v>
      </c>
      <c r="BM30" s="317" t="s">
        <v>33</v>
      </c>
      <c r="BN30" s="317" t="s">
        <v>33</v>
      </c>
      <c r="BO30" s="317" t="s">
        <v>33</v>
      </c>
      <c r="BP30" s="317">
        <f>D30</f>
        <v>0.16</v>
      </c>
      <c r="BQ30" s="317" t="s">
        <v>33</v>
      </c>
      <c r="BR30" s="317">
        <f>F30</f>
        <v>2.0659999999999998</v>
      </c>
      <c r="BS30" s="317" t="s">
        <v>33</v>
      </c>
      <c r="BT30" s="317" t="s">
        <v>33</v>
      </c>
      <c r="BU30" s="317" t="s">
        <v>33</v>
      </c>
      <c r="BV30" s="317" t="s">
        <v>33</v>
      </c>
      <c r="BW30" s="317" t="s">
        <v>33</v>
      </c>
      <c r="BX30" s="317">
        <f>L30</f>
        <v>0.16</v>
      </c>
      <c r="BY30" s="317" t="s">
        <v>33</v>
      </c>
      <c r="BZ30" s="317">
        <f>N30</f>
        <v>2.0659999999999998</v>
      </c>
      <c r="CA30" s="317" t="s">
        <v>33</v>
      </c>
      <c r="CB30" s="317" t="s">
        <v>33</v>
      </c>
      <c r="CC30" s="317" t="s">
        <v>33</v>
      </c>
      <c r="CD30" s="317" t="s">
        <v>33</v>
      </c>
      <c r="CE30" s="317" t="s">
        <v>33</v>
      </c>
      <c r="CF30" s="317" t="s">
        <v>33</v>
      </c>
      <c r="CG30" s="317" t="s">
        <v>33</v>
      </c>
      <c r="CH30" s="317" t="s">
        <v>33</v>
      </c>
      <c r="CI30" s="317" t="s">
        <v>33</v>
      </c>
      <c r="CJ30" s="317" t="s">
        <v>33</v>
      </c>
      <c r="CK30" s="317" t="s">
        <v>33</v>
      </c>
      <c r="CL30" s="317" t="s">
        <v>33</v>
      </c>
      <c r="CM30" s="317" t="s">
        <v>33</v>
      </c>
      <c r="CN30" s="317" t="s">
        <v>33</v>
      </c>
      <c r="CO30" s="317" t="s">
        <v>33</v>
      </c>
      <c r="CP30" s="317" t="s">
        <v>33</v>
      </c>
      <c r="CQ30" s="317" t="s">
        <v>33</v>
      </c>
      <c r="CR30" s="317" t="s">
        <v>33</v>
      </c>
      <c r="CS30" s="317" t="s">
        <v>33</v>
      </c>
      <c r="CT30" s="317" t="s">
        <v>33</v>
      </c>
      <c r="CU30" s="317" t="s">
        <v>33</v>
      </c>
      <c r="CV30" s="533">
        <f t="shared" si="113"/>
        <v>0.16</v>
      </c>
      <c r="CW30" s="533" t="s">
        <v>33</v>
      </c>
      <c r="CX30" s="535">
        <f>F30</f>
        <v>2.0659999999999998</v>
      </c>
      <c r="CY30" s="533" t="s">
        <v>33</v>
      </c>
      <c r="CZ30" s="533" t="s">
        <v>33</v>
      </c>
      <c r="DA30" s="535" t="str">
        <f>I30</f>
        <v>нд</v>
      </c>
      <c r="DB30" s="535" t="str">
        <f t="shared" si="112"/>
        <v>нд</v>
      </c>
      <c r="DC30" s="535" t="str">
        <f t="shared" si="112"/>
        <v>нд</v>
      </c>
      <c r="DD30" s="535">
        <f t="shared" si="112"/>
        <v>0.16</v>
      </c>
      <c r="DE30" s="535" t="str">
        <f t="shared" si="112"/>
        <v>нд</v>
      </c>
      <c r="DF30" s="535">
        <f t="shared" si="112"/>
        <v>2.0659999999999998</v>
      </c>
      <c r="DG30" s="535" t="str">
        <f t="shared" si="112"/>
        <v>нд</v>
      </c>
      <c r="DH30" s="535" t="str">
        <f t="shared" si="112"/>
        <v>нд</v>
      </c>
      <c r="DI30" s="535" t="str">
        <f t="shared" si="112"/>
        <v>нд</v>
      </c>
      <c r="DJ30" s="535" t="str">
        <f t="shared" si="112"/>
        <v>нд</v>
      </c>
      <c r="DK30" s="535" t="str">
        <f t="shared" si="112"/>
        <v>нд</v>
      </c>
      <c r="DL30" s="190" t="str">
        <f t="shared" si="112"/>
        <v>нд</v>
      </c>
    </row>
    <row r="31" spans="1:116" s="126" customFormat="1" ht="31.5" x14ac:dyDescent="0.25">
      <c r="A31" s="124" t="s">
        <v>68</v>
      </c>
      <c r="B31" s="39" t="s">
        <v>69</v>
      </c>
      <c r="C31" s="125" t="str">
        <f>C32</f>
        <v>нд</v>
      </c>
      <c r="D31" s="125" t="str">
        <f t="shared" ref="D31:CF31" si="125">D32</f>
        <v>нд</v>
      </c>
      <c r="E31" s="125" t="str">
        <f t="shared" si="125"/>
        <v>нд</v>
      </c>
      <c r="F31" s="125" t="str">
        <f t="shared" si="125"/>
        <v>нд</v>
      </c>
      <c r="G31" s="125" t="str">
        <f t="shared" si="125"/>
        <v>нд</v>
      </c>
      <c r="H31" s="125" t="str">
        <f t="shared" si="125"/>
        <v>нд</v>
      </c>
      <c r="I31" s="125" t="str">
        <f t="shared" si="125"/>
        <v>нд</v>
      </c>
      <c r="J31" s="180">
        <f t="shared" si="125"/>
        <v>1219</v>
      </c>
      <c r="K31" s="125" t="str">
        <f t="shared" si="125"/>
        <v>нд</v>
      </c>
      <c r="L31" s="125" t="str">
        <f t="shared" si="125"/>
        <v>нд</v>
      </c>
      <c r="M31" s="125" t="str">
        <f t="shared" si="125"/>
        <v>нд</v>
      </c>
      <c r="N31" s="125" t="str">
        <f t="shared" si="125"/>
        <v>нд</v>
      </c>
      <c r="O31" s="125" t="str">
        <f t="shared" si="125"/>
        <v>нд</v>
      </c>
      <c r="P31" s="125" t="str">
        <f t="shared" si="125"/>
        <v>нд</v>
      </c>
      <c r="Q31" s="125" t="str">
        <f t="shared" si="125"/>
        <v>нд</v>
      </c>
      <c r="R31" s="180">
        <f t="shared" si="125"/>
        <v>762</v>
      </c>
      <c r="S31" s="125" t="str">
        <f t="shared" si="125"/>
        <v>нд</v>
      </c>
      <c r="T31" s="125" t="str">
        <f t="shared" si="125"/>
        <v>нд</v>
      </c>
      <c r="U31" s="125" t="str">
        <f t="shared" si="125"/>
        <v>нд</v>
      </c>
      <c r="V31" s="125" t="str">
        <f t="shared" si="125"/>
        <v>нд</v>
      </c>
      <c r="W31" s="125" t="str">
        <f t="shared" si="125"/>
        <v>нд</v>
      </c>
      <c r="X31" s="125" t="str">
        <f t="shared" si="125"/>
        <v>нд</v>
      </c>
      <c r="Y31" s="125" t="str">
        <f t="shared" si="125"/>
        <v>нд</v>
      </c>
      <c r="Z31" s="180">
        <f t="shared" si="125"/>
        <v>347</v>
      </c>
      <c r="AA31" s="125" t="str">
        <f t="shared" si="125"/>
        <v>нд</v>
      </c>
      <c r="AB31" s="125" t="str">
        <f t="shared" si="125"/>
        <v>нд</v>
      </c>
      <c r="AC31" s="125" t="str">
        <f t="shared" si="125"/>
        <v>нд</v>
      </c>
      <c r="AD31" s="125" t="str">
        <f t="shared" si="125"/>
        <v>нд</v>
      </c>
      <c r="AE31" s="125" t="str">
        <f t="shared" si="125"/>
        <v>нд</v>
      </c>
      <c r="AF31" s="125" t="str">
        <f t="shared" si="125"/>
        <v>нд</v>
      </c>
      <c r="AG31" s="125" t="str">
        <f t="shared" si="125"/>
        <v>нд</v>
      </c>
      <c r="AH31" s="180">
        <f t="shared" si="125"/>
        <v>347</v>
      </c>
      <c r="AI31" s="125" t="str">
        <f t="shared" si="125"/>
        <v>нд</v>
      </c>
      <c r="AJ31" s="125" t="str">
        <f t="shared" si="125"/>
        <v>нд</v>
      </c>
      <c r="AK31" s="125" t="str">
        <f t="shared" si="125"/>
        <v>нд</v>
      </c>
      <c r="AL31" s="125" t="str">
        <f t="shared" si="125"/>
        <v>нд</v>
      </c>
      <c r="AM31" s="125" t="str">
        <f t="shared" si="125"/>
        <v>нд</v>
      </c>
      <c r="AN31" s="125" t="str">
        <f t="shared" si="125"/>
        <v>нд</v>
      </c>
      <c r="AO31" s="125" t="str">
        <f t="shared" si="125"/>
        <v>нд</v>
      </c>
      <c r="AP31" s="180">
        <f t="shared" si="125"/>
        <v>287</v>
      </c>
      <c r="AQ31" s="125" t="str">
        <f t="shared" si="125"/>
        <v>нд</v>
      </c>
      <c r="AR31" s="125" t="str">
        <f t="shared" si="125"/>
        <v>нд</v>
      </c>
      <c r="AS31" s="125" t="str">
        <f t="shared" si="125"/>
        <v>нд</v>
      </c>
      <c r="AT31" s="125" t="str">
        <f t="shared" si="125"/>
        <v>нд</v>
      </c>
      <c r="AU31" s="125" t="str">
        <f t="shared" si="125"/>
        <v>нд</v>
      </c>
      <c r="AV31" s="125" t="str">
        <f t="shared" si="125"/>
        <v>нд</v>
      </c>
      <c r="AW31" s="125" t="str">
        <f t="shared" si="125"/>
        <v>нд</v>
      </c>
      <c r="AX31" s="125" t="str">
        <f t="shared" si="125"/>
        <v>нд</v>
      </c>
      <c r="AY31" s="125" t="str">
        <f t="shared" si="125"/>
        <v>нд</v>
      </c>
      <c r="AZ31" s="125" t="str">
        <f t="shared" ref="AZ31" si="126">AZ32</f>
        <v>нд</v>
      </c>
      <c r="BA31" s="125" t="str">
        <f t="shared" ref="BA31" si="127">BA32</f>
        <v>нд</v>
      </c>
      <c r="BB31" s="125" t="str">
        <f t="shared" ref="BB31" si="128">BB32</f>
        <v>нд</v>
      </c>
      <c r="BC31" s="125" t="str">
        <f t="shared" ref="BC31" si="129">BC32</f>
        <v>нд</v>
      </c>
      <c r="BD31" s="125" t="str">
        <f t="shared" ref="BD31" si="130">BD32</f>
        <v>нд</v>
      </c>
      <c r="BE31" s="125" t="str">
        <f t="shared" ref="BE31" si="131">BE32</f>
        <v>нд</v>
      </c>
      <c r="BF31" s="185">
        <f t="shared" ref="BF31" si="132">BF32</f>
        <v>171</v>
      </c>
      <c r="BG31" s="125" t="str">
        <f t="shared" ref="BG31" si="133">BG32</f>
        <v>нд</v>
      </c>
      <c r="BH31" s="125" t="str">
        <f t="shared" ref="BH31" si="134">BH32</f>
        <v>нд</v>
      </c>
      <c r="BI31" s="125" t="str">
        <f t="shared" ref="BI31" si="135">BI32</f>
        <v>нд</v>
      </c>
      <c r="BJ31" s="125" t="str">
        <f t="shared" ref="BJ31" si="136">BJ32</f>
        <v>нд</v>
      </c>
      <c r="BK31" s="125" t="str">
        <f t="shared" ref="BK31" si="137">BK32</f>
        <v>нд</v>
      </c>
      <c r="BL31" s="125" t="str">
        <f t="shared" ref="BL31" si="138">BL32</f>
        <v>нд</v>
      </c>
      <c r="BM31" s="125" t="str">
        <f t="shared" ref="BM31:BN31" si="139">BM32</f>
        <v>нд</v>
      </c>
      <c r="BN31" s="185">
        <f t="shared" si="139"/>
        <v>1</v>
      </c>
      <c r="BO31" s="125" t="str">
        <f t="shared" ref="BO31" si="140">BO32</f>
        <v>нд</v>
      </c>
      <c r="BP31" s="125" t="str">
        <f t="shared" ref="BP31" si="141">BP32</f>
        <v>нд</v>
      </c>
      <c r="BQ31" s="125" t="str">
        <f t="shared" ref="BQ31" si="142">BQ32</f>
        <v>нд</v>
      </c>
      <c r="BR31" s="125" t="str">
        <f t="shared" ref="BR31" si="143">BR32</f>
        <v>нд</v>
      </c>
      <c r="BS31" s="125" t="str">
        <f t="shared" ref="BS31" si="144">BS32</f>
        <v>нд</v>
      </c>
      <c r="BT31" s="125" t="str">
        <f t="shared" ref="BT31" si="145">BT32</f>
        <v>нд</v>
      </c>
      <c r="BU31" s="125" t="str">
        <f t="shared" ref="BU31" si="146">BU32</f>
        <v>нд</v>
      </c>
      <c r="BV31" s="180">
        <f t="shared" ref="BV31" si="147">BV32</f>
        <v>201</v>
      </c>
      <c r="BW31" s="125" t="str">
        <f t="shared" ref="BW31" si="148">BW32</f>
        <v>нд</v>
      </c>
      <c r="BX31" s="125" t="str">
        <f t="shared" ref="BX31" si="149">BX32</f>
        <v>нд</v>
      </c>
      <c r="BY31" s="125" t="str">
        <f t="shared" ref="BY31" si="150">BY32</f>
        <v>нд</v>
      </c>
      <c r="BZ31" s="125" t="str">
        <f t="shared" ref="BZ31" si="151">BZ32</f>
        <v>нд</v>
      </c>
      <c r="CA31" s="125" t="str">
        <f t="shared" ref="CA31" si="152">CA32</f>
        <v>нд</v>
      </c>
      <c r="CB31" s="125" t="str">
        <f t="shared" ref="CB31" si="153">CB32</f>
        <v>нд</v>
      </c>
      <c r="CC31" s="125" t="str">
        <f t="shared" ref="CC31" si="154">CC32</f>
        <v>нд</v>
      </c>
      <c r="CD31" s="180">
        <f t="shared" si="125"/>
        <v>201</v>
      </c>
      <c r="CE31" s="125" t="str">
        <f t="shared" ref="CE31" si="155">CE32</f>
        <v>нд</v>
      </c>
      <c r="CF31" s="125" t="str">
        <f t="shared" si="125"/>
        <v>нд</v>
      </c>
      <c r="CG31" s="125" t="str">
        <f t="shared" ref="CG31:DL31" si="156">CG32</f>
        <v>нд</v>
      </c>
      <c r="CH31" s="125" t="str">
        <f t="shared" si="156"/>
        <v>нд</v>
      </c>
      <c r="CI31" s="125" t="str">
        <f t="shared" si="156"/>
        <v>нд</v>
      </c>
      <c r="CJ31" s="125" t="str">
        <f t="shared" si="156"/>
        <v>нд</v>
      </c>
      <c r="CK31" s="125" t="str">
        <f t="shared" si="156"/>
        <v>нд</v>
      </c>
      <c r="CL31" s="180">
        <f t="shared" si="156"/>
        <v>213</v>
      </c>
      <c r="CM31" s="125" t="str">
        <f t="shared" si="156"/>
        <v>нд</v>
      </c>
      <c r="CN31" s="125" t="str">
        <f t="shared" si="156"/>
        <v>нд</v>
      </c>
      <c r="CO31" s="125" t="str">
        <f t="shared" si="156"/>
        <v>нд</v>
      </c>
      <c r="CP31" s="125" t="str">
        <f t="shared" si="156"/>
        <v>нд</v>
      </c>
      <c r="CQ31" s="125" t="str">
        <f t="shared" si="156"/>
        <v>нд</v>
      </c>
      <c r="CR31" s="125" t="str">
        <f t="shared" si="156"/>
        <v>нд</v>
      </c>
      <c r="CS31" s="125" t="str">
        <f t="shared" si="156"/>
        <v>нд</v>
      </c>
      <c r="CT31" s="180">
        <f t="shared" si="156"/>
        <v>213</v>
      </c>
      <c r="CU31" s="125" t="str">
        <f t="shared" si="156"/>
        <v>нд</v>
      </c>
      <c r="CV31" s="125" t="str">
        <f t="shared" si="156"/>
        <v>нд</v>
      </c>
      <c r="CW31" s="125" t="str">
        <f t="shared" si="156"/>
        <v>нд</v>
      </c>
      <c r="CX31" s="125" t="str">
        <f t="shared" si="156"/>
        <v>нд</v>
      </c>
      <c r="CY31" s="125" t="str">
        <f t="shared" si="156"/>
        <v>нд</v>
      </c>
      <c r="CZ31" s="125" t="str">
        <f t="shared" si="156"/>
        <v>нд</v>
      </c>
      <c r="DA31" s="125" t="str">
        <f t="shared" si="156"/>
        <v>нд</v>
      </c>
      <c r="DB31" s="180">
        <f t="shared" si="156"/>
        <v>1219</v>
      </c>
      <c r="DC31" s="125" t="str">
        <f t="shared" si="156"/>
        <v>нд</v>
      </c>
      <c r="DD31" s="125" t="str">
        <f t="shared" si="156"/>
        <v>нд</v>
      </c>
      <c r="DE31" s="125" t="str">
        <f t="shared" si="156"/>
        <v>нд</v>
      </c>
      <c r="DF31" s="125" t="str">
        <f t="shared" si="156"/>
        <v>нд</v>
      </c>
      <c r="DG31" s="125" t="str">
        <f t="shared" si="156"/>
        <v>нд</v>
      </c>
      <c r="DH31" s="125" t="str">
        <f t="shared" si="156"/>
        <v>нд</v>
      </c>
      <c r="DI31" s="125" t="str">
        <f t="shared" si="156"/>
        <v>нд</v>
      </c>
      <c r="DJ31" s="180">
        <f t="shared" si="156"/>
        <v>762</v>
      </c>
      <c r="DK31" s="125" t="str">
        <f t="shared" si="156"/>
        <v>нд</v>
      </c>
      <c r="DL31" s="125" t="str">
        <f t="shared" si="156"/>
        <v>нд</v>
      </c>
    </row>
    <row r="32" spans="1:116" s="129" customFormat="1" ht="31.5" outlineLevel="1" x14ac:dyDescent="0.25">
      <c r="A32" s="127" t="s">
        <v>70</v>
      </c>
      <c r="B32" s="10" t="s">
        <v>71</v>
      </c>
      <c r="C32" s="317" t="s">
        <v>33</v>
      </c>
      <c r="D32" s="317" t="s">
        <v>33</v>
      </c>
      <c r="E32" s="317" t="s">
        <v>33</v>
      </c>
      <c r="F32" s="317" t="s">
        <v>33</v>
      </c>
      <c r="G32" s="317" t="s">
        <v>33</v>
      </c>
      <c r="H32" s="317" t="s">
        <v>33</v>
      </c>
      <c r="I32" s="317" t="s">
        <v>33</v>
      </c>
      <c r="J32" s="327">
        <f>SUM(J33:J38)</f>
        <v>1219</v>
      </c>
      <c r="K32" s="317" t="s">
        <v>33</v>
      </c>
      <c r="L32" s="317" t="s">
        <v>33</v>
      </c>
      <c r="M32" s="317" t="s">
        <v>33</v>
      </c>
      <c r="N32" s="317" t="s">
        <v>33</v>
      </c>
      <c r="O32" s="317" t="s">
        <v>33</v>
      </c>
      <c r="P32" s="317" t="s">
        <v>33</v>
      </c>
      <c r="Q32" s="317" t="s">
        <v>33</v>
      </c>
      <c r="R32" s="327">
        <f>SUM(R33:R38)</f>
        <v>762</v>
      </c>
      <c r="S32" s="317" t="s">
        <v>33</v>
      </c>
      <c r="T32" s="317" t="s">
        <v>33</v>
      </c>
      <c r="U32" s="317" t="s">
        <v>33</v>
      </c>
      <c r="V32" s="317" t="s">
        <v>33</v>
      </c>
      <c r="W32" s="317" t="s">
        <v>33</v>
      </c>
      <c r="X32" s="317" t="s">
        <v>33</v>
      </c>
      <c r="Y32" s="317" t="s">
        <v>33</v>
      </c>
      <c r="Z32" s="181">
        <f t="shared" ref="Z32:AP32" si="157">SUM(Z33:Z38)</f>
        <v>347</v>
      </c>
      <c r="AA32" s="317" t="s">
        <v>33</v>
      </c>
      <c r="AB32" s="317" t="s">
        <v>33</v>
      </c>
      <c r="AC32" s="317" t="s">
        <v>33</v>
      </c>
      <c r="AD32" s="317" t="s">
        <v>33</v>
      </c>
      <c r="AE32" s="317" t="s">
        <v>33</v>
      </c>
      <c r="AF32" s="317" t="s">
        <v>33</v>
      </c>
      <c r="AG32" s="317" t="s">
        <v>33</v>
      </c>
      <c r="AH32" s="181">
        <f t="shared" ref="AH32" si="158">SUM(AH33:AH38)</f>
        <v>347</v>
      </c>
      <c r="AI32" s="317" t="s">
        <v>33</v>
      </c>
      <c r="AJ32" s="317" t="s">
        <v>33</v>
      </c>
      <c r="AK32" s="317" t="s">
        <v>33</v>
      </c>
      <c r="AL32" s="317" t="s">
        <v>33</v>
      </c>
      <c r="AM32" s="317" t="s">
        <v>33</v>
      </c>
      <c r="AN32" s="317" t="s">
        <v>33</v>
      </c>
      <c r="AO32" s="317" t="s">
        <v>33</v>
      </c>
      <c r="AP32" s="186">
        <f t="shared" si="157"/>
        <v>287</v>
      </c>
      <c r="AQ32" s="317" t="s">
        <v>33</v>
      </c>
      <c r="AR32" s="317" t="s">
        <v>33</v>
      </c>
      <c r="AS32" s="317" t="s">
        <v>33</v>
      </c>
      <c r="AT32" s="317" t="s">
        <v>33</v>
      </c>
      <c r="AU32" s="317" t="s">
        <v>33</v>
      </c>
      <c r="AV32" s="317" t="s">
        <v>33</v>
      </c>
      <c r="AW32" s="317" t="s">
        <v>33</v>
      </c>
      <c r="AX32" s="317" t="s">
        <v>33</v>
      </c>
      <c r="AY32" s="317" t="s">
        <v>33</v>
      </c>
      <c r="AZ32" s="317" t="s">
        <v>33</v>
      </c>
      <c r="BA32" s="317" t="s">
        <v>33</v>
      </c>
      <c r="BB32" s="317" t="s">
        <v>33</v>
      </c>
      <c r="BC32" s="317" t="s">
        <v>33</v>
      </c>
      <c r="BD32" s="317" t="s">
        <v>33</v>
      </c>
      <c r="BE32" s="317" t="s">
        <v>33</v>
      </c>
      <c r="BF32" s="186">
        <f t="shared" ref="BF32" si="159">SUM(BF33:BF38)</f>
        <v>171</v>
      </c>
      <c r="BG32" s="317" t="s">
        <v>33</v>
      </c>
      <c r="BH32" s="317" t="s">
        <v>33</v>
      </c>
      <c r="BI32" s="317" t="s">
        <v>33</v>
      </c>
      <c r="BJ32" s="317" t="s">
        <v>33</v>
      </c>
      <c r="BK32" s="317" t="s">
        <v>33</v>
      </c>
      <c r="BL32" s="317" t="s">
        <v>33</v>
      </c>
      <c r="BM32" s="317" t="s">
        <v>33</v>
      </c>
      <c r="BN32" s="186">
        <f t="shared" ref="BN32" si="160">SUM(BN33:BN38)</f>
        <v>1</v>
      </c>
      <c r="BO32" s="317" t="s">
        <v>33</v>
      </c>
      <c r="BP32" s="317" t="s">
        <v>33</v>
      </c>
      <c r="BQ32" s="317" t="s">
        <v>33</v>
      </c>
      <c r="BR32" s="317" t="s">
        <v>33</v>
      </c>
      <c r="BS32" s="317" t="s">
        <v>33</v>
      </c>
      <c r="BT32" s="317" t="s">
        <v>33</v>
      </c>
      <c r="BU32" s="317" t="s">
        <v>33</v>
      </c>
      <c r="BV32" s="181">
        <f t="shared" ref="BV32" si="161">SUM(BV33:BV38)</f>
        <v>201</v>
      </c>
      <c r="BW32" s="317" t="s">
        <v>33</v>
      </c>
      <c r="BX32" s="317" t="s">
        <v>33</v>
      </c>
      <c r="BY32" s="317" t="s">
        <v>33</v>
      </c>
      <c r="BZ32" s="317" t="s">
        <v>33</v>
      </c>
      <c r="CA32" s="317" t="s">
        <v>33</v>
      </c>
      <c r="CB32" s="317" t="s">
        <v>33</v>
      </c>
      <c r="CC32" s="317" t="s">
        <v>33</v>
      </c>
      <c r="CD32" s="327">
        <f>SUM(CD33:CD38)</f>
        <v>201</v>
      </c>
      <c r="CE32" s="317" t="s">
        <v>33</v>
      </c>
      <c r="CF32" s="317" t="s">
        <v>33</v>
      </c>
      <c r="CG32" s="317" t="s">
        <v>33</v>
      </c>
      <c r="CH32" s="317" t="s">
        <v>33</v>
      </c>
      <c r="CI32" s="317" t="s">
        <v>33</v>
      </c>
      <c r="CJ32" s="317" t="s">
        <v>33</v>
      </c>
      <c r="CK32" s="317" t="s">
        <v>33</v>
      </c>
      <c r="CL32" s="181">
        <f t="shared" ref="CL32:DB32" si="162">SUM(CL33:CL38)</f>
        <v>213</v>
      </c>
      <c r="CM32" s="317" t="s">
        <v>33</v>
      </c>
      <c r="CN32" s="317" t="s">
        <v>33</v>
      </c>
      <c r="CO32" s="317" t="s">
        <v>33</v>
      </c>
      <c r="CP32" s="317" t="s">
        <v>33</v>
      </c>
      <c r="CQ32" s="317" t="s">
        <v>33</v>
      </c>
      <c r="CR32" s="317" t="s">
        <v>33</v>
      </c>
      <c r="CS32" s="317" t="s">
        <v>33</v>
      </c>
      <c r="CT32" s="181">
        <f t="shared" ref="CT32" si="163">SUM(CT33:CT38)</f>
        <v>213</v>
      </c>
      <c r="CU32" s="317" t="s">
        <v>33</v>
      </c>
      <c r="CV32" s="317" t="s">
        <v>33</v>
      </c>
      <c r="CW32" s="317" t="s">
        <v>33</v>
      </c>
      <c r="CX32" s="317" t="s">
        <v>33</v>
      </c>
      <c r="CY32" s="317" t="s">
        <v>33</v>
      </c>
      <c r="CZ32" s="317" t="s">
        <v>33</v>
      </c>
      <c r="DA32" s="317" t="s">
        <v>33</v>
      </c>
      <c r="DB32" s="181">
        <f t="shared" si="162"/>
        <v>1219</v>
      </c>
      <c r="DC32" s="317" t="s">
        <v>33</v>
      </c>
      <c r="DD32" s="317" t="s">
        <v>33</v>
      </c>
      <c r="DE32" s="317" t="s">
        <v>33</v>
      </c>
      <c r="DF32" s="317" t="s">
        <v>33</v>
      </c>
      <c r="DG32" s="317" t="s">
        <v>33</v>
      </c>
      <c r="DH32" s="317" t="s">
        <v>33</v>
      </c>
      <c r="DI32" s="317" t="s">
        <v>33</v>
      </c>
      <c r="DJ32" s="181">
        <f t="shared" ref="DJ32" si="164">SUM(DJ33:DJ38)</f>
        <v>762</v>
      </c>
      <c r="DK32" s="317" t="s">
        <v>33</v>
      </c>
      <c r="DL32" s="317" t="s">
        <v>33</v>
      </c>
    </row>
    <row r="33" spans="1:116" s="129" customFormat="1" outlineLevel="1" x14ac:dyDescent="0.25">
      <c r="A33" s="13" t="s">
        <v>616</v>
      </c>
      <c r="B33" s="210" t="s">
        <v>621</v>
      </c>
      <c r="C33" s="201" t="s">
        <v>641</v>
      </c>
      <c r="D33" s="317" t="s">
        <v>33</v>
      </c>
      <c r="E33" s="317" t="s">
        <v>33</v>
      </c>
      <c r="F33" s="317" t="s">
        <v>33</v>
      </c>
      <c r="G33" s="317" t="s">
        <v>33</v>
      </c>
      <c r="H33" s="317" t="s">
        <v>33</v>
      </c>
      <c r="I33" s="317" t="s">
        <v>33</v>
      </c>
      <c r="J33" s="327">
        <v>347</v>
      </c>
      <c r="K33" s="317" t="s">
        <v>33</v>
      </c>
      <c r="L33" s="317" t="s">
        <v>33</v>
      </c>
      <c r="M33" s="317" t="s">
        <v>33</v>
      </c>
      <c r="N33" s="317" t="s">
        <v>33</v>
      </c>
      <c r="O33" s="317" t="s">
        <v>33</v>
      </c>
      <c r="P33" s="317" t="s">
        <v>33</v>
      </c>
      <c r="Q33" s="317" t="s">
        <v>33</v>
      </c>
      <c r="R33" s="327">
        <v>347</v>
      </c>
      <c r="S33" s="317" t="s">
        <v>33</v>
      </c>
      <c r="T33" s="533" t="s">
        <v>33</v>
      </c>
      <c r="U33" s="533" t="s">
        <v>33</v>
      </c>
      <c r="V33" s="533" t="s">
        <v>33</v>
      </c>
      <c r="W33" s="533" t="s">
        <v>33</v>
      </c>
      <c r="X33" s="533" t="s">
        <v>33</v>
      </c>
      <c r="Y33" s="533" t="s">
        <v>33</v>
      </c>
      <c r="Z33" s="571">
        <f>J33</f>
        <v>347</v>
      </c>
      <c r="AA33" s="533" t="s">
        <v>33</v>
      </c>
      <c r="AB33" s="533" t="s">
        <v>33</v>
      </c>
      <c r="AC33" s="533" t="s">
        <v>33</v>
      </c>
      <c r="AD33" s="533" t="s">
        <v>33</v>
      </c>
      <c r="AE33" s="533" t="s">
        <v>33</v>
      </c>
      <c r="AF33" s="533" t="s">
        <v>33</v>
      </c>
      <c r="AG33" s="533" t="s">
        <v>33</v>
      </c>
      <c r="AH33" s="571">
        <f>R33</f>
        <v>347</v>
      </c>
      <c r="AI33" s="533" t="s">
        <v>33</v>
      </c>
      <c r="AJ33" s="317" t="s">
        <v>33</v>
      </c>
      <c r="AK33" s="317" t="s">
        <v>33</v>
      </c>
      <c r="AL33" s="317" t="s">
        <v>33</v>
      </c>
      <c r="AM33" s="317" t="s">
        <v>33</v>
      </c>
      <c r="AN33" s="317" t="s">
        <v>33</v>
      </c>
      <c r="AO33" s="317" t="s">
        <v>33</v>
      </c>
      <c r="AP33" s="317" t="s">
        <v>33</v>
      </c>
      <c r="AQ33" s="317" t="s">
        <v>33</v>
      </c>
      <c r="AR33" s="317" t="s">
        <v>33</v>
      </c>
      <c r="AS33" s="317" t="s">
        <v>33</v>
      </c>
      <c r="AT33" s="317" t="s">
        <v>33</v>
      </c>
      <c r="AU33" s="317" t="s">
        <v>33</v>
      </c>
      <c r="AV33" s="317" t="s">
        <v>33</v>
      </c>
      <c r="AW33" s="317" t="s">
        <v>33</v>
      </c>
      <c r="AX33" s="317" t="s">
        <v>33</v>
      </c>
      <c r="AY33" s="317" t="s">
        <v>33</v>
      </c>
      <c r="AZ33" s="317" t="s">
        <v>33</v>
      </c>
      <c r="BA33" s="317" t="s">
        <v>33</v>
      </c>
      <c r="BB33" s="317" t="s">
        <v>33</v>
      </c>
      <c r="BC33" s="317" t="s">
        <v>33</v>
      </c>
      <c r="BD33" s="317" t="s">
        <v>33</v>
      </c>
      <c r="BE33" s="317" t="s">
        <v>33</v>
      </c>
      <c r="BF33" s="317" t="s">
        <v>33</v>
      </c>
      <c r="BG33" s="317" t="s">
        <v>33</v>
      </c>
      <c r="BH33" s="317" t="s">
        <v>33</v>
      </c>
      <c r="BI33" s="317" t="s">
        <v>33</v>
      </c>
      <c r="BJ33" s="317" t="s">
        <v>33</v>
      </c>
      <c r="BK33" s="317" t="s">
        <v>33</v>
      </c>
      <c r="BL33" s="317" t="s">
        <v>33</v>
      </c>
      <c r="BM33" s="317" t="s">
        <v>33</v>
      </c>
      <c r="BN33" s="317" t="s">
        <v>33</v>
      </c>
      <c r="BO33" s="317" t="s">
        <v>33</v>
      </c>
      <c r="BP33" s="317" t="s">
        <v>33</v>
      </c>
      <c r="BQ33" s="317" t="s">
        <v>33</v>
      </c>
      <c r="BR33" s="317" t="s">
        <v>33</v>
      </c>
      <c r="BS33" s="317" t="s">
        <v>33</v>
      </c>
      <c r="BT33" s="317" t="s">
        <v>33</v>
      </c>
      <c r="BU33" s="317" t="s">
        <v>33</v>
      </c>
      <c r="BV33" s="317" t="s">
        <v>33</v>
      </c>
      <c r="BW33" s="317" t="s">
        <v>33</v>
      </c>
      <c r="BX33" s="317" t="s">
        <v>33</v>
      </c>
      <c r="BY33" s="317" t="s">
        <v>33</v>
      </c>
      <c r="BZ33" s="317" t="s">
        <v>33</v>
      </c>
      <c r="CA33" s="317" t="s">
        <v>33</v>
      </c>
      <c r="CB33" s="317" t="s">
        <v>33</v>
      </c>
      <c r="CC33" s="317" t="s">
        <v>33</v>
      </c>
      <c r="CD33" s="317" t="s">
        <v>33</v>
      </c>
      <c r="CE33" s="317" t="s">
        <v>33</v>
      </c>
      <c r="CF33" s="317" t="s">
        <v>33</v>
      </c>
      <c r="CG33" s="317" t="s">
        <v>33</v>
      </c>
      <c r="CH33" s="317" t="s">
        <v>33</v>
      </c>
      <c r="CI33" s="317" t="s">
        <v>33</v>
      </c>
      <c r="CJ33" s="317" t="s">
        <v>33</v>
      </c>
      <c r="CK33" s="317" t="s">
        <v>33</v>
      </c>
      <c r="CL33" s="317" t="s">
        <v>33</v>
      </c>
      <c r="CM33" s="317" t="s">
        <v>33</v>
      </c>
      <c r="CN33" s="317" t="s">
        <v>33</v>
      </c>
      <c r="CO33" s="317" t="s">
        <v>33</v>
      </c>
      <c r="CP33" s="317" t="s">
        <v>33</v>
      </c>
      <c r="CQ33" s="317" t="s">
        <v>33</v>
      </c>
      <c r="CR33" s="317" t="s">
        <v>33</v>
      </c>
      <c r="CS33" s="317" t="s">
        <v>33</v>
      </c>
      <c r="CT33" s="317" t="s">
        <v>33</v>
      </c>
      <c r="CU33" s="317" t="s">
        <v>33</v>
      </c>
      <c r="CV33" s="533" t="s">
        <v>33</v>
      </c>
      <c r="CW33" s="533" t="s">
        <v>33</v>
      </c>
      <c r="CX33" s="533" t="s">
        <v>33</v>
      </c>
      <c r="CY33" s="533" t="s">
        <v>33</v>
      </c>
      <c r="CZ33" s="533" t="s">
        <v>33</v>
      </c>
      <c r="DA33" s="533" t="s">
        <v>33</v>
      </c>
      <c r="DB33" s="536">
        <f>J33</f>
        <v>347</v>
      </c>
      <c r="DC33" s="533" t="s">
        <v>33</v>
      </c>
      <c r="DD33" s="533" t="s">
        <v>33</v>
      </c>
      <c r="DE33" s="533" t="s">
        <v>33</v>
      </c>
      <c r="DF33" s="533" t="s">
        <v>33</v>
      </c>
      <c r="DG33" s="533" t="s">
        <v>33</v>
      </c>
      <c r="DH33" s="533" t="s">
        <v>33</v>
      </c>
      <c r="DI33" s="533" t="s">
        <v>33</v>
      </c>
      <c r="DJ33" s="534">
        <f>R33</f>
        <v>347</v>
      </c>
      <c r="DK33" s="533" t="s">
        <v>33</v>
      </c>
      <c r="DL33" s="317" t="s">
        <v>33</v>
      </c>
    </row>
    <row r="34" spans="1:116" s="129" customFormat="1" outlineLevel="1" x14ac:dyDescent="0.25">
      <c r="A34" s="13" t="s">
        <v>617</v>
      </c>
      <c r="B34" s="210" t="s">
        <v>621</v>
      </c>
      <c r="C34" s="201" t="s">
        <v>1359</v>
      </c>
      <c r="D34" s="317" t="s">
        <v>33</v>
      </c>
      <c r="E34" s="317" t="s">
        <v>33</v>
      </c>
      <c r="F34" s="317" t="s">
        <v>33</v>
      </c>
      <c r="G34" s="317" t="s">
        <v>33</v>
      </c>
      <c r="H34" s="317" t="s">
        <v>33</v>
      </c>
      <c r="I34" s="317" t="s">
        <v>33</v>
      </c>
      <c r="J34" s="327">
        <v>287</v>
      </c>
      <c r="K34" s="317" t="s">
        <v>33</v>
      </c>
      <c r="L34" s="317" t="s">
        <v>33</v>
      </c>
      <c r="M34" s="317" t="s">
        <v>33</v>
      </c>
      <c r="N34" s="317" t="s">
        <v>33</v>
      </c>
      <c r="O34" s="317" t="s">
        <v>33</v>
      </c>
      <c r="P34" s="317" t="s">
        <v>33</v>
      </c>
      <c r="Q34" s="317" t="s">
        <v>33</v>
      </c>
      <c r="R34" s="327" t="s">
        <v>33</v>
      </c>
      <c r="S34" s="317" t="s">
        <v>33</v>
      </c>
      <c r="T34" s="317" t="s">
        <v>33</v>
      </c>
      <c r="U34" s="317" t="s">
        <v>33</v>
      </c>
      <c r="V34" s="317" t="s">
        <v>33</v>
      </c>
      <c r="W34" s="317" t="s">
        <v>33</v>
      </c>
      <c r="X34" s="317" t="s">
        <v>33</v>
      </c>
      <c r="Y34" s="317" t="s">
        <v>33</v>
      </c>
      <c r="Z34" s="317" t="s">
        <v>33</v>
      </c>
      <c r="AA34" s="317" t="s">
        <v>33</v>
      </c>
      <c r="AB34" s="317" t="s">
        <v>33</v>
      </c>
      <c r="AC34" s="317" t="s">
        <v>33</v>
      </c>
      <c r="AD34" s="317" t="s">
        <v>33</v>
      </c>
      <c r="AE34" s="317" t="s">
        <v>33</v>
      </c>
      <c r="AF34" s="317" t="s">
        <v>33</v>
      </c>
      <c r="AG34" s="317" t="s">
        <v>33</v>
      </c>
      <c r="AH34" s="317" t="s">
        <v>33</v>
      </c>
      <c r="AI34" s="317" t="s">
        <v>33</v>
      </c>
      <c r="AJ34" s="533" t="s">
        <v>33</v>
      </c>
      <c r="AK34" s="533" t="s">
        <v>33</v>
      </c>
      <c r="AL34" s="533" t="s">
        <v>33</v>
      </c>
      <c r="AM34" s="533" t="s">
        <v>33</v>
      </c>
      <c r="AN34" s="533" t="s">
        <v>33</v>
      </c>
      <c r="AO34" s="533" t="s">
        <v>33</v>
      </c>
      <c r="AP34" s="571">
        <f>J34</f>
        <v>287</v>
      </c>
      <c r="AQ34" s="533" t="s">
        <v>33</v>
      </c>
      <c r="AR34" s="533" t="s">
        <v>33</v>
      </c>
      <c r="AS34" s="533" t="s">
        <v>33</v>
      </c>
      <c r="AT34" s="533" t="s">
        <v>33</v>
      </c>
      <c r="AU34" s="533" t="s">
        <v>33</v>
      </c>
      <c r="AV34" s="533" t="s">
        <v>33</v>
      </c>
      <c r="AW34" s="533" t="s">
        <v>33</v>
      </c>
      <c r="AX34" s="533" t="s">
        <v>33</v>
      </c>
      <c r="AY34" s="533" t="s">
        <v>33</v>
      </c>
      <c r="AZ34" s="317" t="s">
        <v>33</v>
      </c>
      <c r="BA34" s="317" t="s">
        <v>33</v>
      </c>
      <c r="BB34" s="317" t="s">
        <v>33</v>
      </c>
      <c r="BC34" s="317" t="s">
        <v>33</v>
      </c>
      <c r="BD34" s="317" t="s">
        <v>33</v>
      </c>
      <c r="BE34" s="317" t="s">
        <v>33</v>
      </c>
      <c r="BF34" s="317" t="s">
        <v>33</v>
      </c>
      <c r="BG34" s="317" t="s">
        <v>33</v>
      </c>
      <c r="BH34" s="317" t="s">
        <v>33</v>
      </c>
      <c r="BI34" s="317" t="s">
        <v>33</v>
      </c>
      <c r="BJ34" s="317" t="s">
        <v>33</v>
      </c>
      <c r="BK34" s="317" t="s">
        <v>33</v>
      </c>
      <c r="BL34" s="317" t="s">
        <v>33</v>
      </c>
      <c r="BM34" s="317" t="s">
        <v>33</v>
      </c>
      <c r="BN34" s="317" t="s">
        <v>33</v>
      </c>
      <c r="BO34" s="317" t="s">
        <v>33</v>
      </c>
      <c r="BP34" s="317" t="s">
        <v>33</v>
      </c>
      <c r="BQ34" s="317" t="s">
        <v>33</v>
      </c>
      <c r="BR34" s="317" t="s">
        <v>33</v>
      </c>
      <c r="BS34" s="317" t="s">
        <v>33</v>
      </c>
      <c r="BT34" s="317" t="s">
        <v>33</v>
      </c>
      <c r="BU34" s="317" t="s">
        <v>33</v>
      </c>
      <c r="BV34" s="317" t="s">
        <v>33</v>
      </c>
      <c r="BW34" s="317" t="s">
        <v>33</v>
      </c>
      <c r="BX34" s="317" t="s">
        <v>33</v>
      </c>
      <c r="BY34" s="317" t="s">
        <v>33</v>
      </c>
      <c r="BZ34" s="317" t="s">
        <v>33</v>
      </c>
      <c r="CA34" s="317" t="s">
        <v>33</v>
      </c>
      <c r="CB34" s="317" t="s">
        <v>33</v>
      </c>
      <c r="CC34" s="317" t="s">
        <v>33</v>
      </c>
      <c r="CD34" s="317" t="s">
        <v>33</v>
      </c>
      <c r="CE34" s="317" t="s">
        <v>33</v>
      </c>
      <c r="CF34" s="317" t="s">
        <v>33</v>
      </c>
      <c r="CG34" s="317" t="s">
        <v>33</v>
      </c>
      <c r="CH34" s="317" t="s">
        <v>33</v>
      </c>
      <c r="CI34" s="317" t="s">
        <v>33</v>
      </c>
      <c r="CJ34" s="317" t="s">
        <v>33</v>
      </c>
      <c r="CK34" s="317" t="s">
        <v>33</v>
      </c>
      <c r="CL34" s="317" t="s">
        <v>33</v>
      </c>
      <c r="CM34" s="317" t="s">
        <v>33</v>
      </c>
      <c r="CN34" s="317" t="s">
        <v>33</v>
      </c>
      <c r="CO34" s="317" t="s">
        <v>33</v>
      </c>
      <c r="CP34" s="317" t="s">
        <v>33</v>
      </c>
      <c r="CQ34" s="317" t="s">
        <v>33</v>
      </c>
      <c r="CR34" s="317" t="s">
        <v>33</v>
      </c>
      <c r="CS34" s="317" t="s">
        <v>33</v>
      </c>
      <c r="CT34" s="317" t="s">
        <v>33</v>
      </c>
      <c r="CU34" s="317" t="s">
        <v>33</v>
      </c>
      <c r="CV34" s="533" t="s">
        <v>33</v>
      </c>
      <c r="CW34" s="533" t="s">
        <v>33</v>
      </c>
      <c r="CX34" s="533" t="s">
        <v>33</v>
      </c>
      <c r="CY34" s="533" t="s">
        <v>33</v>
      </c>
      <c r="CZ34" s="533" t="s">
        <v>33</v>
      </c>
      <c r="DA34" s="533" t="s">
        <v>33</v>
      </c>
      <c r="DB34" s="536">
        <f>J34</f>
        <v>287</v>
      </c>
      <c r="DC34" s="533" t="s">
        <v>33</v>
      </c>
      <c r="DD34" s="533" t="s">
        <v>33</v>
      </c>
      <c r="DE34" s="533" t="s">
        <v>33</v>
      </c>
      <c r="DF34" s="533" t="s">
        <v>33</v>
      </c>
      <c r="DG34" s="533" t="s">
        <v>33</v>
      </c>
      <c r="DH34" s="533" t="s">
        <v>33</v>
      </c>
      <c r="DI34" s="533" t="s">
        <v>33</v>
      </c>
      <c r="DJ34" s="534" t="str">
        <f t="shared" ref="DJ34:DJ38" si="165">R34</f>
        <v>нд</v>
      </c>
      <c r="DK34" s="533" t="s">
        <v>33</v>
      </c>
      <c r="DL34" s="317" t="s">
        <v>33</v>
      </c>
    </row>
    <row r="35" spans="1:116" s="129" customFormat="1" outlineLevel="1" x14ac:dyDescent="0.25">
      <c r="A35" s="13" t="s">
        <v>618</v>
      </c>
      <c r="B35" s="210" t="s">
        <v>621</v>
      </c>
      <c r="C35" s="201" t="s">
        <v>1360</v>
      </c>
      <c r="D35" s="317" t="s">
        <v>33</v>
      </c>
      <c r="E35" s="317" t="s">
        <v>33</v>
      </c>
      <c r="F35" s="317" t="s">
        <v>33</v>
      </c>
      <c r="G35" s="317" t="s">
        <v>33</v>
      </c>
      <c r="H35" s="317" t="s">
        <v>33</v>
      </c>
      <c r="I35" s="317" t="s">
        <v>33</v>
      </c>
      <c r="J35" s="327">
        <v>171</v>
      </c>
      <c r="K35" s="317" t="s">
        <v>33</v>
      </c>
      <c r="L35" s="317" t="s">
        <v>33</v>
      </c>
      <c r="M35" s="317" t="s">
        <v>33</v>
      </c>
      <c r="N35" s="317" t="s">
        <v>33</v>
      </c>
      <c r="O35" s="317" t="s">
        <v>33</v>
      </c>
      <c r="P35" s="317" t="s">
        <v>33</v>
      </c>
      <c r="Q35" s="317" t="s">
        <v>33</v>
      </c>
      <c r="R35" s="327" t="s">
        <v>33</v>
      </c>
      <c r="S35" s="317" t="s">
        <v>33</v>
      </c>
      <c r="T35" s="317" t="s">
        <v>33</v>
      </c>
      <c r="U35" s="317" t="s">
        <v>33</v>
      </c>
      <c r="V35" s="317" t="s">
        <v>33</v>
      </c>
      <c r="W35" s="317" t="s">
        <v>33</v>
      </c>
      <c r="X35" s="317" t="s">
        <v>33</v>
      </c>
      <c r="Y35" s="317" t="s">
        <v>33</v>
      </c>
      <c r="Z35" s="317" t="s">
        <v>33</v>
      </c>
      <c r="AA35" s="317" t="s">
        <v>33</v>
      </c>
      <c r="AB35" s="317" t="s">
        <v>33</v>
      </c>
      <c r="AC35" s="317" t="s">
        <v>33</v>
      </c>
      <c r="AD35" s="317" t="s">
        <v>33</v>
      </c>
      <c r="AE35" s="317" t="s">
        <v>33</v>
      </c>
      <c r="AF35" s="317" t="s">
        <v>33</v>
      </c>
      <c r="AG35" s="317" t="s">
        <v>33</v>
      </c>
      <c r="AH35" s="317" t="s">
        <v>33</v>
      </c>
      <c r="AI35" s="317" t="s">
        <v>33</v>
      </c>
      <c r="AJ35" s="317" t="s">
        <v>33</v>
      </c>
      <c r="AK35" s="317" t="s">
        <v>33</v>
      </c>
      <c r="AL35" s="317" t="s">
        <v>33</v>
      </c>
      <c r="AM35" s="317" t="s">
        <v>33</v>
      </c>
      <c r="AN35" s="317" t="s">
        <v>33</v>
      </c>
      <c r="AO35" s="317" t="s">
        <v>33</v>
      </c>
      <c r="AP35" s="317" t="s">
        <v>33</v>
      </c>
      <c r="AQ35" s="317" t="s">
        <v>33</v>
      </c>
      <c r="AR35" s="317" t="s">
        <v>33</v>
      </c>
      <c r="AS35" s="317" t="s">
        <v>33</v>
      </c>
      <c r="AT35" s="317" t="s">
        <v>33</v>
      </c>
      <c r="AU35" s="317" t="s">
        <v>33</v>
      </c>
      <c r="AV35" s="317" t="s">
        <v>33</v>
      </c>
      <c r="AW35" s="317" t="s">
        <v>33</v>
      </c>
      <c r="AX35" s="317" t="s">
        <v>33</v>
      </c>
      <c r="AY35" s="317" t="s">
        <v>33</v>
      </c>
      <c r="AZ35" s="533" t="s">
        <v>33</v>
      </c>
      <c r="BA35" s="533" t="s">
        <v>33</v>
      </c>
      <c r="BB35" s="533" t="s">
        <v>33</v>
      </c>
      <c r="BC35" s="533" t="s">
        <v>33</v>
      </c>
      <c r="BD35" s="533" t="s">
        <v>33</v>
      </c>
      <c r="BE35" s="533" t="s">
        <v>33</v>
      </c>
      <c r="BF35" s="534">
        <f>J35</f>
        <v>171</v>
      </c>
      <c r="BG35" s="533" t="s">
        <v>33</v>
      </c>
      <c r="BH35" s="533" t="s">
        <v>33</v>
      </c>
      <c r="BI35" s="533" t="s">
        <v>33</v>
      </c>
      <c r="BJ35" s="533" t="s">
        <v>33</v>
      </c>
      <c r="BK35" s="533" t="s">
        <v>33</v>
      </c>
      <c r="BL35" s="533" t="s">
        <v>33</v>
      </c>
      <c r="BM35" s="533" t="s">
        <v>33</v>
      </c>
      <c r="BN35" s="534">
        <f>R36</f>
        <v>1</v>
      </c>
      <c r="BO35" s="533" t="s">
        <v>33</v>
      </c>
      <c r="BP35" s="317" t="s">
        <v>33</v>
      </c>
      <c r="BQ35" s="317" t="s">
        <v>33</v>
      </c>
      <c r="BR35" s="317" t="s">
        <v>33</v>
      </c>
      <c r="BS35" s="317" t="s">
        <v>33</v>
      </c>
      <c r="BT35" s="317" t="s">
        <v>33</v>
      </c>
      <c r="BU35" s="317" t="s">
        <v>33</v>
      </c>
      <c r="BV35" s="317" t="s">
        <v>33</v>
      </c>
      <c r="BW35" s="317" t="s">
        <v>33</v>
      </c>
      <c r="BX35" s="317" t="s">
        <v>33</v>
      </c>
      <c r="BY35" s="317" t="s">
        <v>33</v>
      </c>
      <c r="BZ35" s="317" t="s">
        <v>33</v>
      </c>
      <c r="CA35" s="317" t="s">
        <v>33</v>
      </c>
      <c r="CB35" s="317" t="s">
        <v>33</v>
      </c>
      <c r="CC35" s="317" t="s">
        <v>33</v>
      </c>
      <c r="CD35" s="317" t="s">
        <v>33</v>
      </c>
      <c r="CE35" s="317" t="s">
        <v>33</v>
      </c>
      <c r="CF35" s="317" t="s">
        <v>33</v>
      </c>
      <c r="CG35" s="317" t="s">
        <v>33</v>
      </c>
      <c r="CH35" s="317" t="s">
        <v>33</v>
      </c>
      <c r="CI35" s="317" t="s">
        <v>33</v>
      </c>
      <c r="CJ35" s="317" t="s">
        <v>33</v>
      </c>
      <c r="CK35" s="317" t="s">
        <v>33</v>
      </c>
      <c r="CL35" s="317" t="s">
        <v>33</v>
      </c>
      <c r="CM35" s="317" t="s">
        <v>33</v>
      </c>
      <c r="CN35" s="317" t="s">
        <v>33</v>
      </c>
      <c r="CO35" s="317" t="s">
        <v>33</v>
      </c>
      <c r="CP35" s="317" t="s">
        <v>33</v>
      </c>
      <c r="CQ35" s="317" t="s">
        <v>33</v>
      </c>
      <c r="CR35" s="317" t="s">
        <v>33</v>
      </c>
      <c r="CS35" s="317" t="s">
        <v>33</v>
      </c>
      <c r="CT35" s="317" t="s">
        <v>33</v>
      </c>
      <c r="CU35" s="317" t="s">
        <v>33</v>
      </c>
      <c r="CV35" s="533" t="s">
        <v>33</v>
      </c>
      <c r="CW35" s="533" t="s">
        <v>33</v>
      </c>
      <c r="CX35" s="533" t="s">
        <v>33</v>
      </c>
      <c r="CY35" s="533" t="s">
        <v>33</v>
      </c>
      <c r="CZ35" s="533" t="s">
        <v>33</v>
      </c>
      <c r="DA35" s="533" t="s">
        <v>33</v>
      </c>
      <c r="DB35" s="536">
        <f>J35</f>
        <v>171</v>
      </c>
      <c r="DC35" s="533" t="s">
        <v>33</v>
      </c>
      <c r="DD35" s="533" t="s">
        <v>33</v>
      </c>
      <c r="DE35" s="533" t="s">
        <v>33</v>
      </c>
      <c r="DF35" s="533" t="s">
        <v>33</v>
      </c>
      <c r="DG35" s="533" t="s">
        <v>33</v>
      </c>
      <c r="DH35" s="533" t="s">
        <v>33</v>
      </c>
      <c r="DI35" s="533" t="s">
        <v>33</v>
      </c>
      <c r="DJ35" s="534" t="str">
        <f t="shared" si="165"/>
        <v>нд</v>
      </c>
      <c r="DK35" s="533" t="s">
        <v>33</v>
      </c>
      <c r="DL35" s="317" t="s">
        <v>33</v>
      </c>
    </row>
    <row r="36" spans="1:116" s="129" customFormat="1" ht="31.5" outlineLevel="1" x14ac:dyDescent="0.25">
      <c r="A36" s="13" t="s">
        <v>619</v>
      </c>
      <c r="B36" s="210" t="s">
        <v>1334</v>
      </c>
      <c r="C36" s="201" t="s">
        <v>1341</v>
      </c>
      <c r="D36" s="317" t="s">
        <v>33</v>
      </c>
      <c r="E36" s="317" t="s">
        <v>33</v>
      </c>
      <c r="F36" s="317" t="s">
        <v>33</v>
      </c>
      <c r="G36" s="317" t="s">
        <v>33</v>
      </c>
      <c r="H36" s="317" t="s">
        <v>33</v>
      </c>
      <c r="I36" s="317" t="s">
        <v>33</v>
      </c>
      <c r="J36" s="327" t="s">
        <v>33</v>
      </c>
      <c r="K36" s="317" t="s">
        <v>33</v>
      </c>
      <c r="L36" s="317" t="s">
        <v>33</v>
      </c>
      <c r="M36" s="317" t="s">
        <v>33</v>
      </c>
      <c r="N36" s="317" t="s">
        <v>33</v>
      </c>
      <c r="O36" s="317" t="s">
        <v>33</v>
      </c>
      <c r="P36" s="317" t="s">
        <v>33</v>
      </c>
      <c r="Q36" s="317" t="s">
        <v>33</v>
      </c>
      <c r="R36" s="327">
        <v>1</v>
      </c>
      <c r="S36" s="317" t="s">
        <v>33</v>
      </c>
      <c r="T36" s="317" t="s">
        <v>33</v>
      </c>
      <c r="U36" s="317" t="s">
        <v>33</v>
      </c>
      <c r="V36" s="317" t="s">
        <v>33</v>
      </c>
      <c r="W36" s="317" t="s">
        <v>33</v>
      </c>
      <c r="X36" s="317" t="s">
        <v>33</v>
      </c>
      <c r="Y36" s="317" t="s">
        <v>33</v>
      </c>
      <c r="Z36" s="317" t="s">
        <v>33</v>
      </c>
      <c r="AA36" s="317" t="s">
        <v>33</v>
      </c>
      <c r="AB36" s="317" t="s">
        <v>33</v>
      </c>
      <c r="AC36" s="317" t="s">
        <v>33</v>
      </c>
      <c r="AD36" s="317" t="s">
        <v>33</v>
      </c>
      <c r="AE36" s="317" t="s">
        <v>33</v>
      </c>
      <c r="AF36" s="317" t="s">
        <v>33</v>
      </c>
      <c r="AG36" s="317" t="s">
        <v>33</v>
      </c>
      <c r="AH36" s="317" t="s">
        <v>33</v>
      </c>
      <c r="AI36" s="317" t="s">
        <v>33</v>
      </c>
      <c r="AJ36" s="317" t="s">
        <v>33</v>
      </c>
      <c r="AK36" s="317" t="s">
        <v>33</v>
      </c>
      <c r="AL36" s="317" t="s">
        <v>33</v>
      </c>
      <c r="AM36" s="317" t="s">
        <v>33</v>
      </c>
      <c r="AN36" s="317" t="s">
        <v>33</v>
      </c>
      <c r="AO36" s="317" t="s">
        <v>33</v>
      </c>
      <c r="AP36" s="317" t="s">
        <v>33</v>
      </c>
      <c r="AQ36" s="317" t="s">
        <v>33</v>
      </c>
      <c r="AR36" s="317" t="s">
        <v>33</v>
      </c>
      <c r="AS36" s="317" t="s">
        <v>33</v>
      </c>
      <c r="AT36" s="317" t="s">
        <v>33</v>
      </c>
      <c r="AU36" s="317" t="s">
        <v>33</v>
      </c>
      <c r="AV36" s="317" t="s">
        <v>33</v>
      </c>
      <c r="AW36" s="317" t="s">
        <v>33</v>
      </c>
      <c r="AX36" s="317" t="s">
        <v>33</v>
      </c>
      <c r="AY36" s="317" t="s">
        <v>33</v>
      </c>
      <c r="AZ36" s="317" t="s">
        <v>33</v>
      </c>
      <c r="BA36" s="317" t="s">
        <v>33</v>
      </c>
      <c r="BB36" s="317" t="s">
        <v>33</v>
      </c>
      <c r="BC36" s="317" t="s">
        <v>33</v>
      </c>
      <c r="BD36" s="317" t="s">
        <v>33</v>
      </c>
      <c r="BE36" s="317" t="s">
        <v>33</v>
      </c>
      <c r="BF36" s="317" t="s">
        <v>33</v>
      </c>
      <c r="BG36" s="317" t="s">
        <v>33</v>
      </c>
      <c r="BH36" s="317" t="s">
        <v>33</v>
      </c>
      <c r="BI36" s="317" t="s">
        <v>33</v>
      </c>
      <c r="BJ36" s="317" t="s">
        <v>33</v>
      </c>
      <c r="BK36" s="317" t="s">
        <v>33</v>
      </c>
      <c r="BL36" s="317" t="s">
        <v>33</v>
      </c>
      <c r="BM36" s="317" t="s">
        <v>33</v>
      </c>
      <c r="BN36" s="317" t="s">
        <v>33</v>
      </c>
      <c r="BO36" s="317" t="s">
        <v>33</v>
      </c>
      <c r="BP36" s="317" t="s">
        <v>33</v>
      </c>
      <c r="BQ36" s="317" t="s">
        <v>33</v>
      </c>
      <c r="BR36" s="317" t="s">
        <v>33</v>
      </c>
      <c r="BS36" s="317" t="s">
        <v>33</v>
      </c>
      <c r="BT36" s="317" t="s">
        <v>33</v>
      </c>
      <c r="BU36" s="317" t="s">
        <v>33</v>
      </c>
      <c r="BV36" s="317" t="s">
        <v>33</v>
      </c>
      <c r="BW36" s="317" t="s">
        <v>33</v>
      </c>
      <c r="BX36" s="317" t="s">
        <v>33</v>
      </c>
      <c r="BY36" s="317" t="s">
        <v>33</v>
      </c>
      <c r="BZ36" s="317" t="s">
        <v>33</v>
      </c>
      <c r="CA36" s="317" t="s">
        <v>33</v>
      </c>
      <c r="CB36" s="317" t="s">
        <v>33</v>
      </c>
      <c r="CC36" s="317" t="s">
        <v>33</v>
      </c>
      <c r="CD36" s="317" t="s">
        <v>33</v>
      </c>
      <c r="CE36" s="317" t="s">
        <v>33</v>
      </c>
      <c r="CF36" s="317" t="s">
        <v>33</v>
      </c>
      <c r="CG36" s="317" t="s">
        <v>33</v>
      </c>
      <c r="CH36" s="317" t="s">
        <v>33</v>
      </c>
      <c r="CI36" s="317" t="s">
        <v>33</v>
      </c>
      <c r="CJ36" s="317" t="s">
        <v>33</v>
      </c>
      <c r="CK36" s="317" t="s">
        <v>33</v>
      </c>
      <c r="CL36" s="317" t="s">
        <v>33</v>
      </c>
      <c r="CM36" s="317" t="s">
        <v>33</v>
      </c>
      <c r="CN36" s="317" t="s">
        <v>33</v>
      </c>
      <c r="CO36" s="317" t="s">
        <v>33</v>
      </c>
      <c r="CP36" s="317" t="s">
        <v>33</v>
      </c>
      <c r="CQ36" s="317" t="s">
        <v>33</v>
      </c>
      <c r="CR36" s="317" t="s">
        <v>33</v>
      </c>
      <c r="CS36" s="317" t="s">
        <v>33</v>
      </c>
      <c r="CT36" s="317" t="s">
        <v>33</v>
      </c>
      <c r="CU36" s="317" t="s">
        <v>33</v>
      </c>
      <c r="CV36" s="533" t="s">
        <v>33</v>
      </c>
      <c r="CW36" s="533" t="s">
        <v>33</v>
      </c>
      <c r="CX36" s="535" t="str">
        <f>F36</f>
        <v>нд</v>
      </c>
      <c r="CY36" s="533" t="s">
        <v>33</v>
      </c>
      <c r="CZ36" s="533" t="s">
        <v>33</v>
      </c>
      <c r="DA36" s="533" t="s">
        <v>33</v>
      </c>
      <c r="DB36" s="535" t="str">
        <f t="shared" ref="DB36" si="166">J36</f>
        <v>нд</v>
      </c>
      <c r="DC36" s="535" t="str">
        <f t="shared" ref="DC36" si="167">K36</f>
        <v>нд</v>
      </c>
      <c r="DD36" s="535" t="str">
        <f t="shared" ref="DD36" si="168">L36</f>
        <v>нд</v>
      </c>
      <c r="DE36" s="535" t="str">
        <f t="shared" ref="DE36" si="169">M36</f>
        <v>нд</v>
      </c>
      <c r="DF36" s="535" t="str">
        <f t="shared" ref="DF36" si="170">N36</f>
        <v>нд</v>
      </c>
      <c r="DG36" s="535" t="str">
        <f t="shared" ref="DG36" si="171">O36</f>
        <v>нд</v>
      </c>
      <c r="DH36" s="535" t="str">
        <f t="shared" ref="DH36" si="172">P36</f>
        <v>нд</v>
      </c>
      <c r="DI36" s="535" t="str">
        <f t="shared" ref="DI36" si="173">Q36</f>
        <v>нд</v>
      </c>
      <c r="DJ36" s="534">
        <f t="shared" si="165"/>
        <v>1</v>
      </c>
      <c r="DK36" s="535" t="str">
        <f t="shared" ref="DK36" si="174">S36</f>
        <v>нд</v>
      </c>
      <c r="DL36" s="190" t="str">
        <f t="shared" ref="DL36" si="175">T36</f>
        <v>нд</v>
      </c>
    </row>
    <row r="37" spans="1:116" s="129" customFormat="1" outlineLevel="1" x14ac:dyDescent="0.25">
      <c r="A37" s="13" t="s">
        <v>620</v>
      </c>
      <c r="B37" s="210" t="s">
        <v>621</v>
      </c>
      <c r="C37" s="201" t="s">
        <v>644</v>
      </c>
      <c r="D37" s="317" t="s">
        <v>33</v>
      </c>
      <c r="E37" s="317" t="s">
        <v>33</v>
      </c>
      <c r="F37" s="317" t="s">
        <v>33</v>
      </c>
      <c r="G37" s="317" t="s">
        <v>33</v>
      </c>
      <c r="H37" s="317" t="s">
        <v>33</v>
      </c>
      <c r="I37" s="317" t="s">
        <v>33</v>
      </c>
      <c r="J37" s="327">
        <v>201</v>
      </c>
      <c r="K37" s="317" t="s">
        <v>33</v>
      </c>
      <c r="L37" s="317" t="s">
        <v>33</v>
      </c>
      <c r="M37" s="317" t="s">
        <v>33</v>
      </c>
      <c r="N37" s="317" t="s">
        <v>33</v>
      </c>
      <c r="O37" s="317" t="s">
        <v>33</v>
      </c>
      <c r="P37" s="317" t="s">
        <v>33</v>
      </c>
      <c r="Q37" s="317" t="s">
        <v>33</v>
      </c>
      <c r="R37" s="327">
        <v>201</v>
      </c>
      <c r="S37" s="317" t="s">
        <v>33</v>
      </c>
      <c r="T37" s="317" t="s">
        <v>33</v>
      </c>
      <c r="U37" s="317" t="s">
        <v>33</v>
      </c>
      <c r="V37" s="317" t="s">
        <v>33</v>
      </c>
      <c r="W37" s="317" t="s">
        <v>33</v>
      </c>
      <c r="X37" s="317" t="s">
        <v>33</v>
      </c>
      <c r="Y37" s="317" t="s">
        <v>33</v>
      </c>
      <c r="Z37" s="317" t="s">
        <v>33</v>
      </c>
      <c r="AA37" s="317" t="s">
        <v>33</v>
      </c>
      <c r="AB37" s="317" t="s">
        <v>33</v>
      </c>
      <c r="AC37" s="317" t="s">
        <v>33</v>
      </c>
      <c r="AD37" s="317" t="s">
        <v>33</v>
      </c>
      <c r="AE37" s="317" t="s">
        <v>33</v>
      </c>
      <c r="AF37" s="317" t="s">
        <v>33</v>
      </c>
      <c r="AG37" s="317" t="s">
        <v>33</v>
      </c>
      <c r="AH37" s="317" t="s">
        <v>33</v>
      </c>
      <c r="AI37" s="317" t="s">
        <v>33</v>
      </c>
      <c r="AJ37" s="317" t="s">
        <v>33</v>
      </c>
      <c r="AK37" s="317" t="s">
        <v>33</v>
      </c>
      <c r="AL37" s="317" t="s">
        <v>33</v>
      </c>
      <c r="AM37" s="317" t="s">
        <v>33</v>
      </c>
      <c r="AN37" s="317" t="s">
        <v>33</v>
      </c>
      <c r="AO37" s="317" t="s">
        <v>33</v>
      </c>
      <c r="AP37" s="317" t="s">
        <v>33</v>
      </c>
      <c r="AQ37" s="317" t="s">
        <v>33</v>
      </c>
      <c r="AR37" s="317" t="s">
        <v>33</v>
      </c>
      <c r="AS37" s="317" t="s">
        <v>33</v>
      </c>
      <c r="AT37" s="317" t="s">
        <v>33</v>
      </c>
      <c r="AU37" s="317" t="s">
        <v>33</v>
      </c>
      <c r="AV37" s="317" t="s">
        <v>33</v>
      </c>
      <c r="AW37" s="317" t="s">
        <v>33</v>
      </c>
      <c r="AX37" s="317" t="s">
        <v>33</v>
      </c>
      <c r="AY37" s="317" t="s">
        <v>33</v>
      </c>
      <c r="AZ37" s="317" t="s">
        <v>33</v>
      </c>
      <c r="BA37" s="317" t="s">
        <v>33</v>
      </c>
      <c r="BB37" s="317" t="s">
        <v>33</v>
      </c>
      <c r="BC37" s="317" t="s">
        <v>33</v>
      </c>
      <c r="BD37" s="317" t="s">
        <v>33</v>
      </c>
      <c r="BE37" s="317" t="s">
        <v>33</v>
      </c>
      <c r="BF37" s="317" t="s">
        <v>33</v>
      </c>
      <c r="BG37" s="317" t="s">
        <v>33</v>
      </c>
      <c r="BH37" s="317" t="s">
        <v>33</v>
      </c>
      <c r="BI37" s="317" t="s">
        <v>33</v>
      </c>
      <c r="BJ37" s="317" t="s">
        <v>33</v>
      </c>
      <c r="BK37" s="317" t="s">
        <v>33</v>
      </c>
      <c r="BL37" s="317" t="s">
        <v>33</v>
      </c>
      <c r="BM37" s="317" t="s">
        <v>33</v>
      </c>
      <c r="BN37" s="317" t="s">
        <v>33</v>
      </c>
      <c r="BO37" s="317" t="s">
        <v>33</v>
      </c>
      <c r="BP37" s="533" t="s">
        <v>33</v>
      </c>
      <c r="BQ37" s="533" t="s">
        <v>33</v>
      </c>
      <c r="BR37" s="533" t="s">
        <v>33</v>
      </c>
      <c r="BS37" s="533" t="s">
        <v>33</v>
      </c>
      <c r="BT37" s="533" t="s">
        <v>33</v>
      </c>
      <c r="BU37" s="533" t="s">
        <v>33</v>
      </c>
      <c r="BV37" s="534">
        <f>J37</f>
        <v>201</v>
      </c>
      <c r="BW37" s="533" t="s">
        <v>33</v>
      </c>
      <c r="BX37" s="533" t="s">
        <v>33</v>
      </c>
      <c r="BY37" s="533" t="s">
        <v>33</v>
      </c>
      <c r="BZ37" s="533" t="s">
        <v>33</v>
      </c>
      <c r="CA37" s="533" t="s">
        <v>33</v>
      </c>
      <c r="CB37" s="533" t="s">
        <v>33</v>
      </c>
      <c r="CC37" s="533" t="s">
        <v>33</v>
      </c>
      <c r="CD37" s="534">
        <f>R37</f>
        <v>201</v>
      </c>
      <c r="CE37" s="533" t="s">
        <v>33</v>
      </c>
      <c r="CF37" s="317" t="s">
        <v>33</v>
      </c>
      <c r="CG37" s="317" t="s">
        <v>33</v>
      </c>
      <c r="CH37" s="317" t="s">
        <v>33</v>
      </c>
      <c r="CI37" s="317" t="s">
        <v>33</v>
      </c>
      <c r="CJ37" s="317" t="s">
        <v>33</v>
      </c>
      <c r="CK37" s="317" t="s">
        <v>33</v>
      </c>
      <c r="CL37" s="317" t="s">
        <v>33</v>
      </c>
      <c r="CM37" s="317" t="s">
        <v>33</v>
      </c>
      <c r="CN37" s="317" t="s">
        <v>33</v>
      </c>
      <c r="CO37" s="317" t="s">
        <v>33</v>
      </c>
      <c r="CP37" s="317" t="s">
        <v>33</v>
      </c>
      <c r="CQ37" s="317" t="s">
        <v>33</v>
      </c>
      <c r="CR37" s="317" t="s">
        <v>33</v>
      </c>
      <c r="CS37" s="317" t="s">
        <v>33</v>
      </c>
      <c r="CT37" s="317" t="s">
        <v>33</v>
      </c>
      <c r="CU37" s="317" t="s">
        <v>33</v>
      </c>
      <c r="CV37" s="533" t="s">
        <v>33</v>
      </c>
      <c r="CW37" s="533" t="s">
        <v>33</v>
      </c>
      <c r="CX37" s="533" t="s">
        <v>33</v>
      </c>
      <c r="CY37" s="533" t="s">
        <v>33</v>
      </c>
      <c r="CZ37" s="533" t="s">
        <v>33</v>
      </c>
      <c r="DA37" s="533" t="s">
        <v>33</v>
      </c>
      <c r="DB37" s="536">
        <f>J37</f>
        <v>201</v>
      </c>
      <c r="DC37" s="533" t="s">
        <v>33</v>
      </c>
      <c r="DD37" s="533" t="s">
        <v>33</v>
      </c>
      <c r="DE37" s="533" t="s">
        <v>33</v>
      </c>
      <c r="DF37" s="533" t="s">
        <v>33</v>
      </c>
      <c r="DG37" s="533" t="s">
        <v>33</v>
      </c>
      <c r="DH37" s="533" t="s">
        <v>33</v>
      </c>
      <c r="DI37" s="533" t="s">
        <v>33</v>
      </c>
      <c r="DJ37" s="534">
        <f t="shared" si="165"/>
        <v>201</v>
      </c>
      <c r="DK37" s="533" t="s">
        <v>33</v>
      </c>
      <c r="DL37" s="317" t="s">
        <v>33</v>
      </c>
    </row>
    <row r="38" spans="1:116" s="129" customFormat="1" outlineLevel="1" x14ac:dyDescent="0.25">
      <c r="A38" s="13" t="s">
        <v>1339</v>
      </c>
      <c r="B38" s="210" t="s">
        <v>621</v>
      </c>
      <c r="C38" s="201" t="s">
        <v>645</v>
      </c>
      <c r="D38" s="317" t="s">
        <v>33</v>
      </c>
      <c r="E38" s="317" t="s">
        <v>33</v>
      </c>
      <c r="F38" s="317" t="s">
        <v>33</v>
      </c>
      <c r="G38" s="317" t="s">
        <v>33</v>
      </c>
      <c r="H38" s="317" t="s">
        <v>33</v>
      </c>
      <c r="I38" s="317" t="s">
        <v>33</v>
      </c>
      <c r="J38" s="327">
        <v>213</v>
      </c>
      <c r="K38" s="317" t="s">
        <v>33</v>
      </c>
      <c r="L38" s="317" t="s">
        <v>33</v>
      </c>
      <c r="M38" s="317" t="s">
        <v>33</v>
      </c>
      <c r="N38" s="317" t="s">
        <v>33</v>
      </c>
      <c r="O38" s="317" t="s">
        <v>33</v>
      </c>
      <c r="P38" s="317" t="s">
        <v>33</v>
      </c>
      <c r="Q38" s="317" t="s">
        <v>33</v>
      </c>
      <c r="R38" s="327">
        <v>213</v>
      </c>
      <c r="S38" s="317" t="s">
        <v>33</v>
      </c>
      <c r="T38" s="317" t="s">
        <v>33</v>
      </c>
      <c r="U38" s="317" t="s">
        <v>33</v>
      </c>
      <c r="V38" s="317" t="s">
        <v>33</v>
      </c>
      <c r="W38" s="317" t="s">
        <v>33</v>
      </c>
      <c r="X38" s="317" t="s">
        <v>33</v>
      </c>
      <c r="Y38" s="317" t="s">
        <v>33</v>
      </c>
      <c r="Z38" s="317" t="s">
        <v>33</v>
      </c>
      <c r="AA38" s="317" t="s">
        <v>33</v>
      </c>
      <c r="AB38" s="317" t="s">
        <v>33</v>
      </c>
      <c r="AC38" s="317" t="s">
        <v>33</v>
      </c>
      <c r="AD38" s="317" t="s">
        <v>33</v>
      </c>
      <c r="AE38" s="317" t="s">
        <v>33</v>
      </c>
      <c r="AF38" s="317" t="s">
        <v>33</v>
      </c>
      <c r="AG38" s="317" t="s">
        <v>33</v>
      </c>
      <c r="AH38" s="317" t="s">
        <v>33</v>
      </c>
      <c r="AI38" s="317" t="s">
        <v>33</v>
      </c>
      <c r="AJ38" s="317" t="s">
        <v>33</v>
      </c>
      <c r="AK38" s="317" t="s">
        <v>33</v>
      </c>
      <c r="AL38" s="317" t="s">
        <v>33</v>
      </c>
      <c r="AM38" s="317" t="s">
        <v>33</v>
      </c>
      <c r="AN38" s="317" t="s">
        <v>33</v>
      </c>
      <c r="AO38" s="317" t="s">
        <v>33</v>
      </c>
      <c r="AP38" s="317" t="s">
        <v>33</v>
      </c>
      <c r="AQ38" s="317" t="s">
        <v>33</v>
      </c>
      <c r="AR38" s="317" t="s">
        <v>33</v>
      </c>
      <c r="AS38" s="317" t="s">
        <v>33</v>
      </c>
      <c r="AT38" s="317" t="s">
        <v>33</v>
      </c>
      <c r="AU38" s="317" t="s">
        <v>33</v>
      </c>
      <c r="AV38" s="317" t="s">
        <v>33</v>
      </c>
      <c r="AW38" s="317" t="s">
        <v>33</v>
      </c>
      <c r="AX38" s="317" t="s">
        <v>33</v>
      </c>
      <c r="AY38" s="317" t="s">
        <v>33</v>
      </c>
      <c r="AZ38" s="317" t="s">
        <v>33</v>
      </c>
      <c r="BA38" s="317" t="s">
        <v>33</v>
      </c>
      <c r="BB38" s="317" t="s">
        <v>33</v>
      </c>
      <c r="BC38" s="317" t="s">
        <v>33</v>
      </c>
      <c r="BD38" s="317" t="s">
        <v>33</v>
      </c>
      <c r="BE38" s="317" t="s">
        <v>33</v>
      </c>
      <c r="BF38" s="317" t="s">
        <v>33</v>
      </c>
      <c r="BG38" s="317" t="s">
        <v>33</v>
      </c>
      <c r="BH38" s="317" t="s">
        <v>33</v>
      </c>
      <c r="BI38" s="317" t="s">
        <v>33</v>
      </c>
      <c r="BJ38" s="317" t="s">
        <v>33</v>
      </c>
      <c r="BK38" s="317" t="s">
        <v>33</v>
      </c>
      <c r="BL38" s="317" t="s">
        <v>33</v>
      </c>
      <c r="BM38" s="317" t="s">
        <v>33</v>
      </c>
      <c r="BN38" s="317" t="s">
        <v>33</v>
      </c>
      <c r="BO38" s="317" t="s">
        <v>33</v>
      </c>
      <c r="BP38" s="317" t="s">
        <v>33</v>
      </c>
      <c r="BQ38" s="317" t="s">
        <v>33</v>
      </c>
      <c r="BR38" s="317" t="s">
        <v>33</v>
      </c>
      <c r="BS38" s="317" t="s">
        <v>33</v>
      </c>
      <c r="BT38" s="317" t="s">
        <v>33</v>
      </c>
      <c r="BU38" s="317" t="s">
        <v>33</v>
      </c>
      <c r="BV38" s="317" t="s">
        <v>33</v>
      </c>
      <c r="BW38" s="317" t="s">
        <v>33</v>
      </c>
      <c r="BX38" s="317" t="s">
        <v>33</v>
      </c>
      <c r="BY38" s="317" t="s">
        <v>33</v>
      </c>
      <c r="BZ38" s="317" t="s">
        <v>33</v>
      </c>
      <c r="CA38" s="317" t="s">
        <v>33</v>
      </c>
      <c r="CB38" s="317" t="s">
        <v>33</v>
      </c>
      <c r="CC38" s="317" t="s">
        <v>33</v>
      </c>
      <c r="CD38" s="317" t="s">
        <v>33</v>
      </c>
      <c r="CE38" s="317" t="s">
        <v>33</v>
      </c>
      <c r="CF38" s="533" t="s">
        <v>33</v>
      </c>
      <c r="CG38" s="533" t="s">
        <v>33</v>
      </c>
      <c r="CH38" s="533" t="s">
        <v>33</v>
      </c>
      <c r="CI38" s="533" t="s">
        <v>33</v>
      </c>
      <c r="CJ38" s="533" t="s">
        <v>33</v>
      </c>
      <c r="CK38" s="533" t="s">
        <v>33</v>
      </c>
      <c r="CL38" s="534">
        <f>J38</f>
        <v>213</v>
      </c>
      <c r="CM38" s="533" t="s">
        <v>33</v>
      </c>
      <c r="CN38" s="533" t="s">
        <v>33</v>
      </c>
      <c r="CO38" s="533" t="s">
        <v>33</v>
      </c>
      <c r="CP38" s="533" t="s">
        <v>33</v>
      </c>
      <c r="CQ38" s="533" t="s">
        <v>33</v>
      </c>
      <c r="CR38" s="533" t="s">
        <v>33</v>
      </c>
      <c r="CS38" s="533" t="s">
        <v>33</v>
      </c>
      <c r="CT38" s="534">
        <f>R38</f>
        <v>213</v>
      </c>
      <c r="CU38" s="533" t="s">
        <v>33</v>
      </c>
      <c r="CV38" s="533" t="s">
        <v>33</v>
      </c>
      <c r="CW38" s="533" t="s">
        <v>33</v>
      </c>
      <c r="CX38" s="533" t="s">
        <v>33</v>
      </c>
      <c r="CY38" s="533" t="s">
        <v>33</v>
      </c>
      <c r="CZ38" s="533" t="s">
        <v>33</v>
      </c>
      <c r="DA38" s="533" t="s">
        <v>33</v>
      </c>
      <c r="DB38" s="536">
        <f>J38</f>
        <v>213</v>
      </c>
      <c r="DC38" s="533" t="s">
        <v>33</v>
      </c>
      <c r="DD38" s="533" t="s">
        <v>33</v>
      </c>
      <c r="DE38" s="533" t="s">
        <v>33</v>
      </c>
      <c r="DF38" s="533" t="s">
        <v>33</v>
      </c>
      <c r="DG38" s="533" t="s">
        <v>33</v>
      </c>
      <c r="DH38" s="533" t="s">
        <v>33</v>
      </c>
      <c r="DI38" s="533" t="s">
        <v>33</v>
      </c>
      <c r="DJ38" s="534">
        <f t="shared" si="165"/>
        <v>213</v>
      </c>
      <c r="DK38" s="533" t="s">
        <v>33</v>
      </c>
      <c r="DL38" s="317" t="s">
        <v>33</v>
      </c>
    </row>
    <row r="39" spans="1:116" s="21" customFormat="1" x14ac:dyDescent="0.25">
      <c r="A39" s="18" t="s">
        <v>466</v>
      </c>
      <c r="B39" s="168" t="s">
        <v>467</v>
      </c>
      <c r="C39" s="314" t="s">
        <v>33</v>
      </c>
      <c r="D39" s="314" t="s">
        <v>33</v>
      </c>
      <c r="E39" s="314" t="s">
        <v>33</v>
      </c>
      <c r="F39" s="314" t="s">
        <v>33</v>
      </c>
      <c r="G39" s="314" t="s">
        <v>33</v>
      </c>
      <c r="H39" s="314" t="s">
        <v>33</v>
      </c>
      <c r="I39" s="314" t="s">
        <v>33</v>
      </c>
      <c r="J39" s="314" t="s">
        <v>33</v>
      </c>
      <c r="K39" s="543">
        <f t="shared" ref="K39" si="176">SUM(K40:K42)</f>
        <v>2</v>
      </c>
      <c r="L39" s="572" t="s">
        <v>33</v>
      </c>
      <c r="M39" s="572" t="s">
        <v>33</v>
      </c>
      <c r="N39" s="572" t="s">
        <v>33</v>
      </c>
      <c r="O39" s="572" t="s">
        <v>33</v>
      </c>
      <c r="P39" s="572" t="s">
        <v>33</v>
      </c>
      <c r="Q39" s="572" t="s">
        <v>33</v>
      </c>
      <c r="R39" s="572" t="s">
        <v>33</v>
      </c>
      <c r="S39" s="543">
        <f t="shared" ref="S39:T39" si="177">SUM(S40:S42)</f>
        <v>3</v>
      </c>
      <c r="T39" s="543">
        <f t="shared" si="177"/>
        <v>0</v>
      </c>
      <c r="U39" s="572" t="s">
        <v>33</v>
      </c>
      <c r="V39" s="572" t="s">
        <v>33</v>
      </c>
      <c r="W39" s="572" t="s">
        <v>33</v>
      </c>
      <c r="X39" s="572" t="s">
        <v>33</v>
      </c>
      <c r="Y39" s="572" t="s">
        <v>33</v>
      </c>
      <c r="Z39" s="572" t="s">
        <v>33</v>
      </c>
      <c r="AA39" s="572" t="s">
        <v>33</v>
      </c>
      <c r="AB39" s="572" t="s">
        <v>33</v>
      </c>
      <c r="AC39" s="572" t="s">
        <v>33</v>
      </c>
      <c r="AD39" s="572" t="s">
        <v>33</v>
      </c>
      <c r="AE39" s="572" t="s">
        <v>33</v>
      </c>
      <c r="AF39" s="572" t="s">
        <v>33</v>
      </c>
      <c r="AG39" s="572" t="s">
        <v>33</v>
      </c>
      <c r="AH39" s="572" t="s">
        <v>33</v>
      </c>
      <c r="AI39" s="572" t="s">
        <v>33</v>
      </c>
      <c r="AJ39" s="572" t="s">
        <v>33</v>
      </c>
      <c r="AK39" s="572" t="s">
        <v>33</v>
      </c>
      <c r="AL39" s="572" t="s">
        <v>33</v>
      </c>
      <c r="AM39" s="572" t="s">
        <v>33</v>
      </c>
      <c r="AN39" s="572" t="s">
        <v>33</v>
      </c>
      <c r="AO39" s="572" t="s">
        <v>33</v>
      </c>
      <c r="AP39" s="572" t="s">
        <v>33</v>
      </c>
      <c r="AQ39" s="572" t="s">
        <v>33</v>
      </c>
      <c r="AR39" s="572" t="s">
        <v>33</v>
      </c>
      <c r="AS39" s="572" t="s">
        <v>33</v>
      </c>
      <c r="AT39" s="572" t="s">
        <v>33</v>
      </c>
      <c r="AU39" s="572" t="s">
        <v>33</v>
      </c>
      <c r="AV39" s="572" t="s">
        <v>33</v>
      </c>
      <c r="AW39" s="572" t="s">
        <v>33</v>
      </c>
      <c r="AX39" s="572" t="s">
        <v>33</v>
      </c>
      <c r="AY39" s="572" t="s">
        <v>33</v>
      </c>
      <c r="AZ39" s="572" t="s">
        <v>33</v>
      </c>
      <c r="BA39" s="572" t="s">
        <v>33</v>
      </c>
      <c r="BB39" s="572" t="s">
        <v>33</v>
      </c>
      <c r="BC39" s="572" t="s">
        <v>33</v>
      </c>
      <c r="BD39" s="572" t="s">
        <v>33</v>
      </c>
      <c r="BE39" s="572" t="s">
        <v>33</v>
      </c>
      <c r="BF39" s="572" t="s">
        <v>33</v>
      </c>
      <c r="BG39" s="543">
        <f t="shared" ref="BG39" si="178">SUM(BG40:BG42)</f>
        <v>1</v>
      </c>
      <c r="BH39" s="572" t="s">
        <v>33</v>
      </c>
      <c r="BI39" s="572" t="s">
        <v>33</v>
      </c>
      <c r="BJ39" s="572" t="s">
        <v>33</v>
      </c>
      <c r="BK39" s="572" t="s">
        <v>33</v>
      </c>
      <c r="BL39" s="572" t="s">
        <v>33</v>
      </c>
      <c r="BM39" s="572" t="s">
        <v>33</v>
      </c>
      <c r="BN39" s="572" t="s">
        <v>33</v>
      </c>
      <c r="BO39" s="543">
        <f t="shared" ref="BO39" si="179">SUM(BO40:BO42)</f>
        <v>2</v>
      </c>
      <c r="BP39" s="572" t="s">
        <v>33</v>
      </c>
      <c r="BQ39" s="572" t="s">
        <v>33</v>
      </c>
      <c r="BR39" s="572" t="s">
        <v>33</v>
      </c>
      <c r="BS39" s="572" t="s">
        <v>33</v>
      </c>
      <c r="BT39" s="572" t="s">
        <v>33</v>
      </c>
      <c r="BU39" s="572" t="s">
        <v>33</v>
      </c>
      <c r="BV39" s="572" t="s">
        <v>33</v>
      </c>
      <c r="BW39" s="543">
        <f t="shared" ref="BW39" si="180">SUM(BW40:BW42)</f>
        <v>1</v>
      </c>
      <c r="BX39" s="572" t="s">
        <v>33</v>
      </c>
      <c r="BY39" s="572" t="s">
        <v>33</v>
      </c>
      <c r="BZ39" s="572" t="s">
        <v>33</v>
      </c>
      <c r="CA39" s="572" t="s">
        <v>33</v>
      </c>
      <c r="CB39" s="572" t="s">
        <v>33</v>
      </c>
      <c r="CC39" s="572" t="s">
        <v>33</v>
      </c>
      <c r="CD39" s="572" t="s">
        <v>33</v>
      </c>
      <c r="CE39" s="543">
        <f t="shared" ref="CE39" si="181">SUM(CE40:CE42)</f>
        <v>1</v>
      </c>
      <c r="CF39" s="572" t="s">
        <v>33</v>
      </c>
      <c r="CG39" s="572" t="s">
        <v>33</v>
      </c>
      <c r="CH39" s="572" t="s">
        <v>33</v>
      </c>
      <c r="CI39" s="572" t="s">
        <v>33</v>
      </c>
      <c r="CJ39" s="572" t="s">
        <v>33</v>
      </c>
      <c r="CK39" s="572" t="s">
        <v>33</v>
      </c>
      <c r="CL39" s="572" t="s">
        <v>33</v>
      </c>
      <c r="CM39" s="572" t="s">
        <v>33</v>
      </c>
      <c r="CN39" s="572" t="s">
        <v>33</v>
      </c>
      <c r="CO39" s="572" t="s">
        <v>33</v>
      </c>
      <c r="CP39" s="572" t="s">
        <v>33</v>
      </c>
      <c r="CQ39" s="572" t="s">
        <v>33</v>
      </c>
      <c r="CR39" s="572" t="s">
        <v>33</v>
      </c>
      <c r="CS39" s="572" t="s">
        <v>33</v>
      </c>
      <c r="CT39" s="572" t="s">
        <v>33</v>
      </c>
      <c r="CU39" s="572" t="s">
        <v>33</v>
      </c>
      <c r="CV39" s="572" t="s">
        <v>33</v>
      </c>
      <c r="CW39" s="572" t="s">
        <v>33</v>
      </c>
      <c r="CX39" s="572" t="s">
        <v>33</v>
      </c>
      <c r="CY39" s="572" t="s">
        <v>33</v>
      </c>
      <c r="CZ39" s="572" t="s">
        <v>33</v>
      </c>
      <c r="DA39" s="572" t="s">
        <v>33</v>
      </c>
      <c r="DB39" s="572" t="s">
        <v>33</v>
      </c>
      <c r="DC39" s="573">
        <f t="shared" ref="DC39" si="182">SUM(DC40:DC42)</f>
        <v>2</v>
      </c>
      <c r="DD39" s="572" t="s">
        <v>33</v>
      </c>
      <c r="DE39" s="572" t="s">
        <v>33</v>
      </c>
      <c r="DF39" s="572" t="s">
        <v>33</v>
      </c>
      <c r="DG39" s="572" t="s">
        <v>33</v>
      </c>
      <c r="DH39" s="572" t="s">
        <v>33</v>
      </c>
      <c r="DI39" s="572" t="s">
        <v>33</v>
      </c>
      <c r="DJ39" s="572" t="s">
        <v>33</v>
      </c>
      <c r="DK39" s="573">
        <f t="shared" ref="DK39" si="183">SUM(DK40:DK42)</f>
        <v>3</v>
      </c>
      <c r="DL39" s="572" t="s">
        <v>33</v>
      </c>
    </row>
    <row r="40" spans="1:116" s="189" customFormat="1" x14ac:dyDescent="0.25">
      <c r="A40" s="187" t="s">
        <v>468</v>
      </c>
      <c r="B40" s="399" t="s">
        <v>623</v>
      </c>
      <c r="C40" s="201" t="s">
        <v>1352</v>
      </c>
      <c r="D40" s="316" t="s">
        <v>33</v>
      </c>
      <c r="E40" s="316" t="s">
        <v>33</v>
      </c>
      <c r="F40" s="316" t="s">
        <v>33</v>
      </c>
      <c r="G40" s="316" t="s">
        <v>33</v>
      </c>
      <c r="H40" s="316" t="s">
        <v>33</v>
      </c>
      <c r="I40" s="316" t="s">
        <v>33</v>
      </c>
      <c r="J40" s="316" t="s">
        <v>33</v>
      </c>
      <c r="K40" s="234">
        <v>1</v>
      </c>
      <c r="L40" s="316" t="s">
        <v>33</v>
      </c>
      <c r="M40" s="316" t="s">
        <v>33</v>
      </c>
      <c r="N40" s="316" t="s">
        <v>33</v>
      </c>
      <c r="O40" s="316" t="s">
        <v>33</v>
      </c>
      <c r="P40" s="316" t="s">
        <v>33</v>
      </c>
      <c r="Q40" s="316" t="s">
        <v>33</v>
      </c>
      <c r="R40" s="316" t="s">
        <v>33</v>
      </c>
      <c r="S40" s="316">
        <v>1</v>
      </c>
      <c r="T40" s="316" t="s">
        <v>33</v>
      </c>
      <c r="U40" s="316" t="s">
        <v>33</v>
      </c>
      <c r="V40" s="316" t="s">
        <v>33</v>
      </c>
      <c r="W40" s="316" t="s">
        <v>33</v>
      </c>
      <c r="X40" s="316" t="s">
        <v>33</v>
      </c>
      <c r="Y40" s="316" t="s">
        <v>33</v>
      </c>
      <c r="Z40" s="316" t="s">
        <v>33</v>
      </c>
      <c r="AA40" s="316" t="s">
        <v>33</v>
      </c>
      <c r="AB40" s="316" t="s">
        <v>33</v>
      </c>
      <c r="AC40" s="316" t="s">
        <v>33</v>
      </c>
      <c r="AD40" s="316" t="s">
        <v>33</v>
      </c>
      <c r="AE40" s="316" t="s">
        <v>33</v>
      </c>
      <c r="AF40" s="316" t="s">
        <v>33</v>
      </c>
      <c r="AG40" s="316" t="s">
        <v>33</v>
      </c>
      <c r="AH40" s="316" t="s">
        <v>33</v>
      </c>
      <c r="AI40" s="316" t="s">
        <v>33</v>
      </c>
      <c r="AJ40" s="316" t="s">
        <v>33</v>
      </c>
      <c r="AK40" s="316" t="s">
        <v>33</v>
      </c>
      <c r="AL40" s="316" t="s">
        <v>33</v>
      </c>
      <c r="AM40" s="316" t="s">
        <v>33</v>
      </c>
      <c r="AN40" s="316" t="s">
        <v>33</v>
      </c>
      <c r="AO40" s="316" t="s">
        <v>33</v>
      </c>
      <c r="AP40" s="316" t="s">
        <v>33</v>
      </c>
      <c r="AQ40" s="316" t="s">
        <v>33</v>
      </c>
      <c r="AR40" s="316" t="s">
        <v>33</v>
      </c>
      <c r="AS40" s="316" t="s">
        <v>33</v>
      </c>
      <c r="AT40" s="316" t="s">
        <v>33</v>
      </c>
      <c r="AU40" s="316" t="s">
        <v>33</v>
      </c>
      <c r="AV40" s="316" t="s">
        <v>33</v>
      </c>
      <c r="AW40" s="316" t="s">
        <v>33</v>
      </c>
      <c r="AX40" s="316" t="s">
        <v>33</v>
      </c>
      <c r="AY40" s="316" t="s">
        <v>33</v>
      </c>
      <c r="AZ40" s="541" t="s">
        <v>33</v>
      </c>
      <c r="BA40" s="541" t="s">
        <v>33</v>
      </c>
      <c r="BB40" s="541" t="s">
        <v>33</v>
      </c>
      <c r="BC40" s="541" t="s">
        <v>33</v>
      </c>
      <c r="BD40" s="541" t="s">
        <v>33</v>
      </c>
      <c r="BE40" s="541" t="s">
        <v>33</v>
      </c>
      <c r="BF40" s="541" t="s">
        <v>33</v>
      </c>
      <c r="BG40" s="534">
        <f>K40</f>
        <v>1</v>
      </c>
      <c r="BH40" s="541" t="s">
        <v>33</v>
      </c>
      <c r="BI40" s="541" t="s">
        <v>33</v>
      </c>
      <c r="BJ40" s="541" t="s">
        <v>33</v>
      </c>
      <c r="BK40" s="541" t="s">
        <v>33</v>
      </c>
      <c r="BL40" s="541" t="s">
        <v>33</v>
      </c>
      <c r="BM40" s="541" t="s">
        <v>33</v>
      </c>
      <c r="BN40" s="541" t="s">
        <v>33</v>
      </c>
      <c r="BO40" s="541">
        <v>1</v>
      </c>
      <c r="BP40" s="316" t="s">
        <v>33</v>
      </c>
      <c r="BQ40" s="316" t="s">
        <v>33</v>
      </c>
      <c r="BR40" s="316" t="s">
        <v>33</v>
      </c>
      <c r="BS40" s="316" t="s">
        <v>33</v>
      </c>
      <c r="BT40" s="316" t="s">
        <v>33</v>
      </c>
      <c r="BU40" s="316" t="s">
        <v>33</v>
      </c>
      <c r="BV40" s="316" t="s">
        <v>33</v>
      </c>
      <c r="BW40" s="316" t="s">
        <v>33</v>
      </c>
      <c r="BX40" s="316" t="s">
        <v>33</v>
      </c>
      <c r="BY40" s="316" t="s">
        <v>33</v>
      </c>
      <c r="BZ40" s="316" t="s">
        <v>33</v>
      </c>
      <c r="CA40" s="316" t="s">
        <v>33</v>
      </c>
      <c r="CB40" s="316" t="s">
        <v>33</v>
      </c>
      <c r="CC40" s="316" t="s">
        <v>33</v>
      </c>
      <c r="CD40" s="316" t="s">
        <v>33</v>
      </c>
      <c r="CE40" s="316" t="s">
        <v>33</v>
      </c>
      <c r="CF40" s="316" t="s">
        <v>33</v>
      </c>
      <c r="CG40" s="316" t="s">
        <v>33</v>
      </c>
      <c r="CH40" s="316" t="s">
        <v>33</v>
      </c>
      <c r="CI40" s="316" t="s">
        <v>33</v>
      </c>
      <c r="CJ40" s="316" t="s">
        <v>33</v>
      </c>
      <c r="CK40" s="316" t="s">
        <v>33</v>
      </c>
      <c r="CL40" s="316" t="s">
        <v>33</v>
      </c>
      <c r="CM40" s="316" t="s">
        <v>33</v>
      </c>
      <c r="CN40" s="316" t="s">
        <v>33</v>
      </c>
      <c r="CO40" s="316" t="s">
        <v>33</v>
      </c>
      <c r="CP40" s="316" t="s">
        <v>33</v>
      </c>
      <c r="CQ40" s="316" t="s">
        <v>33</v>
      </c>
      <c r="CR40" s="316" t="s">
        <v>33</v>
      </c>
      <c r="CS40" s="316" t="s">
        <v>33</v>
      </c>
      <c r="CT40" s="316" t="s">
        <v>33</v>
      </c>
      <c r="CU40" s="316" t="s">
        <v>33</v>
      </c>
      <c r="CV40" s="541" t="s">
        <v>33</v>
      </c>
      <c r="CW40" s="541" t="s">
        <v>33</v>
      </c>
      <c r="CX40" s="541" t="s">
        <v>33</v>
      </c>
      <c r="CY40" s="541" t="s">
        <v>33</v>
      </c>
      <c r="CZ40" s="541" t="s">
        <v>33</v>
      </c>
      <c r="DA40" s="541" t="s">
        <v>33</v>
      </c>
      <c r="DB40" s="541" t="s">
        <v>33</v>
      </c>
      <c r="DC40" s="574">
        <f>K40</f>
        <v>1</v>
      </c>
      <c r="DD40" s="533" t="s">
        <v>33</v>
      </c>
      <c r="DE40" s="533" t="s">
        <v>33</v>
      </c>
      <c r="DF40" s="533" t="s">
        <v>33</v>
      </c>
      <c r="DG40" s="533" t="s">
        <v>33</v>
      </c>
      <c r="DH40" s="533" t="s">
        <v>33</v>
      </c>
      <c r="DI40" s="533" t="s">
        <v>33</v>
      </c>
      <c r="DJ40" s="533" t="s">
        <v>33</v>
      </c>
      <c r="DK40" s="534">
        <f>S40</f>
        <v>1</v>
      </c>
      <c r="DL40" s="206" t="s">
        <v>33</v>
      </c>
    </row>
    <row r="41" spans="1:116" s="189" customFormat="1" x14ac:dyDescent="0.25">
      <c r="A41" s="187" t="s">
        <v>622</v>
      </c>
      <c r="B41" s="237" t="s">
        <v>1337</v>
      </c>
      <c r="C41" s="201" t="s">
        <v>1353</v>
      </c>
      <c r="D41" s="317" t="s">
        <v>33</v>
      </c>
      <c r="E41" s="317" t="s">
        <v>33</v>
      </c>
      <c r="F41" s="316" t="s">
        <v>33</v>
      </c>
      <c r="G41" s="317" t="s">
        <v>33</v>
      </c>
      <c r="H41" s="317" t="s">
        <v>33</v>
      </c>
      <c r="I41" s="317" t="s">
        <v>33</v>
      </c>
      <c r="J41" s="317" t="s">
        <v>33</v>
      </c>
      <c r="K41" s="317" t="s">
        <v>33</v>
      </c>
      <c r="L41" s="317" t="s">
        <v>33</v>
      </c>
      <c r="M41" s="317" t="s">
        <v>33</v>
      </c>
      <c r="N41" s="317" t="s">
        <v>33</v>
      </c>
      <c r="O41" s="317" t="s">
        <v>33</v>
      </c>
      <c r="P41" s="317" t="s">
        <v>33</v>
      </c>
      <c r="Q41" s="317" t="s">
        <v>33</v>
      </c>
      <c r="R41" s="317" t="s">
        <v>33</v>
      </c>
      <c r="S41" s="316">
        <v>1</v>
      </c>
      <c r="T41" s="317" t="s">
        <v>33</v>
      </c>
      <c r="U41" s="317" t="s">
        <v>33</v>
      </c>
      <c r="V41" s="317" t="s">
        <v>33</v>
      </c>
      <c r="W41" s="317" t="s">
        <v>33</v>
      </c>
      <c r="X41" s="317" t="s">
        <v>33</v>
      </c>
      <c r="Y41" s="317" t="s">
        <v>33</v>
      </c>
      <c r="Z41" s="317" t="s">
        <v>33</v>
      </c>
      <c r="AA41" s="317" t="s">
        <v>33</v>
      </c>
      <c r="AB41" s="317" t="s">
        <v>33</v>
      </c>
      <c r="AC41" s="317" t="s">
        <v>33</v>
      </c>
      <c r="AD41" s="317" t="s">
        <v>33</v>
      </c>
      <c r="AE41" s="317" t="s">
        <v>33</v>
      </c>
      <c r="AF41" s="317" t="s">
        <v>33</v>
      </c>
      <c r="AG41" s="317" t="s">
        <v>33</v>
      </c>
      <c r="AH41" s="317" t="s">
        <v>33</v>
      </c>
      <c r="AI41" s="317" t="s">
        <v>33</v>
      </c>
      <c r="AJ41" s="317" t="s">
        <v>33</v>
      </c>
      <c r="AK41" s="317" t="s">
        <v>33</v>
      </c>
      <c r="AL41" s="317" t="s">
        <v>33</v>
      </c>
      <c r="AM41" s="317" t="s">
        <v>33</v>
      </c>
      <c r="AN41" s="317" t="s">
        <v>33</v>
      </c>
      <c r="AO41" s="317" t="s">
        <v>33</v>
      </c>
      <c r="AP41" s="317" t="s">
        <v>33</v>
      </c>
      <c r="AQ41" s="317" t="s">
        <v>33</v>
      </c>
      <c r="AR41" s="317" t="s">
        <v>33</v>
      </c>
      <c r="AS41" s="317" t="s">
        <v>33</v>
      </c>
      <c r="AT41" s="317" t="s">
        <v>33</v>
      </c>
      <c r="AU41" s="317" t="s">
        <v>33</v>
      </c>
      <c r="AV41" s="317" t="s">
        <v>33</v>
      </c>
      <c r="AW41" s="317" t="s">
        <v>33</v>
      </c>
      <c r="AX41" s="317" t="s">
        <v>33</v>
      </c>
      <c r="AY41" s="317" t="s">
        <v>33</v>
      </c>
      <c r="AZ41" s="533" t="s">
        <v>33</v>
      </c>
      <c r="BA41" s="533" t="s">
        <v>33</v>
      </c>
      <c r="BB41" s="541" t="s">
        <v>33</v>
      </c>
      <c r="BC41" s="533" t="s">
        <v>33</v>
      </c>
      <c r="BD41" s="533" t="s">
        <v>33</v>
      </c>
      <c r="BE41" s="533" t="s">
        <v>33</v>
      </c>
      <c r="BF41" s="533" t="s">
        <v>33</v>
      </c>
      <c r="BG41" s="533" t="s">
        <v>33</v>
      </c>
      <c r="BH41" s="533" t="s">
        <v>33</v>
      </c>
      <c r="BI41" s="533" t="s">
        <v>33</v>
      </c>
      <c r="BJ41" s="533" t="s">
        <v>33</v>
      </c>
      <c r="BK41" s="533" t="s">
        <v>33</v>
      </c>
      <c r="BL41" s="533" t="s">
        <v>33</v>
      </c>
      <c r="BM41" s="533" t="s">
        <v>33</v>
      </c>
      <c r="BN41" s="533" t="s">
        <v>33</v>
      </c>
      <c r="BO41" s="534">
        <v>1</v>
      </c>
      <c r="BP41" s="317" t="s">
        <v>33</v>
      </c>
      <c r="BQ41" s="317" t="s">
        <v>33</v>
      </c>
      <c r="BR41" s="317" t="s">
        <v>33</v>
      </c>
      <c r="BS41" s="317" t="s">
        <v>33</v>
      </c>
      <c r="BT41" s="317" t="s">
        <v>33</v>
      </c>
      <c r="BU41" s="317" t="s">
        <v>33</v>
      </c>
      <c r="BV41" s="317" t="s">
        <v>33</v>
      </c>
      <c r="BW41" s="317" t="s">
        <v>33</v>
      </c>
      <c r="BX41" s="317" t="s">
        <v>33</v>
      </c>
      <c r="BY41" s="317" t="s">
        <v>33</v>
      </c>
      <c r="BZ41" s="317" t="s">
        <v>33</v>
      </c>
      <c r="CA41" s="317" t="s">
        <v>33</v>
      </c>
      <c r="CB41" s="317" t="s">
        <v>33</v>
      </c>
      <c r="CC41" s="317" t="s">
        <v>33</v>
      </c>
      <c r="CD41" s="317" t="s">
        <v>33</v>
      </c>
      <c r="CE41" s="317" t="s">
        <v>33</v>
      </c>
      <c r="CF41" s="317" t="s">
        <v>33</v>
      </c>
      <c r="CG41" s="317" t="s">
        <v>33</v>
      </c>
      <c r="CH41" s="317" t="s">
        <v>33</v>
      </c>
      <c r="CI41" s="317" t="s">
        <v>33</v>
      </c>
      <c r="CJ41" s="317" t="s">
        <v>33</v>
      </c>
      <c r="CK41" s="317" t="s">
        <v>33</v>
      </c>
      <c r="CL41" s="317" t="s">
        <v>33</v>
      </c>
      <c r="CM41" s="317" t="s">
        <v>33</v>
      </c>
      <c r="CN41" s="317" t="s">
        <v>33</v>
      </c>
      <c r="CO41" s="317" t="s">
        <v>33</v>
      </c>
      <c r="CP41" s="317" t="s">
        <v>33</v>
      </c>
      <c r="CQ41" s="317" t="s">
        <v>33</v>
      </c>
      <c r="CR41" s="317" t="s">
        <v>33</v>
      </c>
      <c r="CS41" s="317" t="s">
        <v>33</v>
      </c>
      <c r="CT41" s="317" t="s">
        <v>33</v>
      </c>
      <c r="CU41" s="317" t="s">
        <v>33</v>
      </c>
      <c r="CV41" s="533" t="s">
        <v>33</v>
      </c>
      <c r="CW41" s="533" t="s">
        <v>33</v>
      </c>
      <c r="CX41" s="535" t="str">
        <f>F41</f>
        <v>нд</v>
      </c>
      <c r="CY41" s="533" t="s">
        <v>33</v>
      </c>
      <c r="CZ41" s="533" t="s">
        <v>33</v>
      </c>
      <c r="DA41" s="533" t="s">
        <v>33</v>
      </c>
      <c r="DB41" s="535" t="str">
        <f t="shared" ref="DB41" si="184">J41</f>
        <v>нд</v>
      </c>
      <c r="DC41" s="535" t="str">
        <f t="shared" ref="DC41" si="185">K41</f>
        <v>нд</v>
      </c>
      <c r="DD41" s="535" t="str">
        <f t="shared" ref="DD41" si="186">L41</f>
        <v>нд</v>
      </c>
      <c r="DE41" s="535" t="str">
        <f t="shared" ref="DE41" si="187">M41</f>
        <v>нд</v>
      </c>
      <c r="DF41" s="535" t="str">
        <f t="shared" ref="DF41" si="188">N41</f>
        <v>нд</v>
      </c>
      <c r="DG41" s="535" t="str">
        <f t="shared" ref="DG41" si="189">O41</f>
        <v>нд</v>
      </c>
      <c r="DH41" s="535" t="str">
        <f t="shared" ref="DH41" si="190">P41</f>
        <v>нд</v>
      </c>
      <c r="DI41" s="535" t="str">
        <f t="shared" ref="DI41" si="191">Q41</f>
        <v>нд</v>
      </c>
      <c r="DJ41" s="535" t="str">
        <f t="shared" ref="DJ41:DK42" si="192">R41</f>
        <v>нд</v>
      </c>
      <c r="DK41" s="534">
        <f t="shared" si="192"/>
        <v>1</v>
      </c>
      <c r="DL41" s="190" t="str">
        <f t="shared" ref="DL41" si="193">T41</f>
        <v>нд</v>
      </c>
    </row>
    <row r="42" spans="1:116" s="189" customFormat="1" x14ac:dyDescent="0.25">
      <c r="A42" s="187" t="s">
        <v>1335</v>
      </c>
      <c r="B42" s="399" t="s">
        <v>624</v>
      </c>
      <c r="C42" s="201" t="s">
        <v>646</v>
      </c>
      <c r="D42" s="316" t="s">
        <v>33</v>
      </c>
      <c r="E42" s="316" t="s">
        <v>33</v>
      </c>
      <c r="F42" s="316" t="s">
        <v>33</v>
      </c>
      <c r="G42" s="316" t="s">
        <v>33</v>
      </c>
      <c r="H42" s="316" t="s">
        <v>33</v>
      </c>
      <c r="I42" s="316" t="s">
        <v>33</v>
      </c>
      <c r="J42" s="316" t="s">
        <v>33</v>
      </c>
      <c r="K42" s="234">
        <v>1</v>
      </c>
      <c r="L42" s="316" t="s">
        <v>33</v>
      </c>
      <c r="M42" s="316" t="s">
        <v>33</v>
      </c>
      <c r="N42" s="316" t="s">
        <v>33</v>
      </c>
      <c r="O42" s="316" t="s">
        <v>33</v>
      </c>
      <c r="P42" s="316" t="s">
        <v>33</v>
      </c>
      <c r="Q42" s="316" t="s">
        <v>33</v>
      </c>
      <c r="R42" s="316" t="s">
        <v>33</v>
      </c>
      <c r="S42" s="316">
        <v>1</v>
      </c>
      <c r="T42" s="316" t="s">
        <v>33</v>
      </c>
      <c r="U42" s="316" t="s">
        <v>33</v>
      </c>
      <c r="V42" s="316" t="s">
        <v>33</v>
      </c>
      <c r="W42" s="316" t="s">
        <v>33</v>
      </c>
      <c r="X42" s="316" t="s">
        <v>33</v>
      </c>
      <c r="Y42" s="316" t="s">
        <v>33</v>
      </c>
      <c r="Z42" s="316" t="s">
        <v>33</v>
      </c>
      <c r="AA42" s="316" t="s">
        <v>33</v>
      </c>
      <c r="AB42" s="316" t="s">
        <v>33</v>
      </c>
      <c r="AC42" s="316" t="s">
        <v>33</v>
      </c>
      <c r="AD42" s="316" t="s">
        <v>33</v>
      </c>
      <c r="AE42" s="316" t="s">
        <v>33</v>
      </c>
      <c r="AF42" s="316" t="s">
        <v>33</v>
      </c>
      <c r="AG42" s="316" t="s">
        <v>33</v>
      </c>
      <c r="AH42" s="316" t="s">
        <v>33</v>
      </c>
      <c r="AI42" s="316" t="s">
        <v>33</v>
      </c>
      <c r="AJ42" s="316" t="s">
        <v>33</v>
      </c>
      <c r="AK42" s="316" t="s">
        <v>33</v>
      </c>
      <c r="AL42" s="316" t="s">
        <v>33</v>
      </c>
      <c r="AM42" s="316" t="s">
        <v>33</v>
      </c>
      <c r="AN42" s="316" t="s">
        <v>33</v>
      </c>
      <c r="AO42" s="316" t="s">
        <v>33</v>
      </c>
      <c r="AP42" s="316" t="s">
        <v>33</v>
      </c>
      <c r="AQ42" s="316" t="s">
        <v>33</v>
      </c>
      <c r="AR42" s="316" t="s">
        <v>33</v>
      </c>
      <c r="AS42" s="316" t="s">
        <v>33</v>
      </c>
      <c r="AT42" s="316" t="s">
        <v>33</v>
      </c>
      <c r="AU42" s="316" t="s">
        <v>33</v>
      </c>
      <c r="AV42" s="316" t="s">
        <v>33</v>
      </c>
      <c r="AW42" s="316" t="s">
        <v>33</v>
      </c>
      <c r="AX42" s="316" t="s">
        <v>33</v>
      </c>
      <c r="AY42" s="316" t="s">
        <v>33</v>
      </c>
      <c r="AZ42" s="316" t="s">
        <v>33</v>
      </c>
      <c r="BA42" s="316" t="s">
        <v>33</v>
      </c>
      <c r="BB42" s="316" t="s">
        <v>33</v>
      </c>
      <c r="BC42" s="316" t="s">
        <v>33</v>
      </c>
      <c r="BD42" s="316" t="s">
        <v>33</v>
      </c>
      <c r="BE42" s="316" t="s">
        <v>33</v>
      </c>
      <c r="BF42" s="316" t="s">
        <v>33</v>
      </c>
      <c r="BG42" s="316" t="s">
        <v>33</v>
      </c>
      <c r="BH42" s="316" t="s">
        <v>33</v>
      </c>
      <c r="BI42" s="316" t="s">
        <v>33</v>
      </c>
      <c r="BJ42" s="316" t="s">
        <v>33</v>
      </c>
      <c r="BK42" s="316" t="s">
        <v>33</v>
      </c>
      <c r="BL42" s="316" t="s">
        <v>33</v>
      </c>
      <c r="BM42" s="316" t="s">
        <v>33</v>
      </c>
      <c r="BN42" s="316" t="s">
        <v>33</v>
      </c>
      <c r="BO42" s="316" t="s">
        <v>33</v>
      </c>
      <c r="BP42" s="541" t="s">
        <v>33</v>
      </c>
      <c r="BQ42" s="541" t="s">
        <v>33</v>
      </c>
      <c r="BR42" s="541" t="s">
        <v>33</v>
      </c>
      <c r="BS42" s="541" t="s">
        <v>33</v>
      </c>
      <c r="BT42" s="541" t="s">
        <v>33</v>
      </c>
      <c r="BU42" s="541" t="s">
        <v>33</v>
      </c>
      <c r="BV42" s="541" t="s">
        <v>33</v>
      </c>
      <c r="BW42" s="534">
        <f>K42</f>
        <v>1</v>
      </c>
      <c r="BX42" s="541" t="s">
        <v>33</v>
      </c>
      <c r="BY42" s="541" t="s">
        <v>33</v>
      </c>
      <c r="BZ42" s="541" t="s">
        <v>33</v>
      </c>
      <c r="CA42" s="541" t="s">
        <v>33</v>
      </c>
      <c r="CB42" s="541" t="s">
        <v>33</v>
      </c>
      <c r="CC42" s="541" t="s">
        <v>33</v>
      </c>
      <c r="CD42" s="541" t="s">
        <v>33</v>
      </c>
      <c r="CE42" s="534">
        <f>S42</f>
        <v>1</v>
      </c>
      <c r="CF42" s="316" t="s">
        <v>33</v>
      </c>
      <c r="CG42" s="316" t="s">
        <v>33</v>
      </c>
      <c r="CH42" s="316" t="s">
        <v>33</v>
      </c>
      <c r="CI42" s="316" t="s">
        <v>33</v>
      </c>
      <c r="CJ42" s="316" t="s">
        <v>33</v>
      </c>
      <c r="CK42" s="316" t="s">
        <v>33</v>
      </c>
      <c r="CL42" s="316" t="s">
        <v>33</v>
      </c>
      <c r="CM42" s="316" t="s">
        <v>33</v>
      </c>
      <c r="CN42" s="316" t="s">
        <v>33</v>
      </c>
      <c r="CO42" s="316" t="s">
        <v>33</v>
      </c>
      <c r="CP42" s="316" t="s">
        <v>33</v>
      </c>
      <c r="CQ42" s="316" t="s">
        <v>33</v>
      </c>
      <c r="CR42" s="316" t="s">
        <v>33</v>
      </c>
      <c r="CS42" s="316" t="s">
        <v>33</v>
      </c>
      <c r="CT42" s="316" t="s">
        <v>33</v>
      </c>
      <c r="CU42" s="316" t="s">
        <v>33</v>
      </c>
      <c r="CV42" s="541" t="s">
        <v>33</v>
      </c>
      <c r="CW42" s="541" t="s">
        <v>33</v>
      </c>
      <c r="CX42" s="541" t="s">
        <v>33</v>
      </c>
      <c r="CY42" s="541" t="s">
        <v>33</v>
      </c>
      <c r="CZ42" s="541" t="s">
        <v>33</v>
      </c>
      <c r="DA42" s="541" t="s">
        <v>33</v>
      </c>
      <c r="DB42" s="541" t="s">
        <v>33</v>
      </c>
      <c r="DC42" s="574">
        <f>K42</f>
        <v>1</v>
      </c>
      <c r="DD42" s="533" t="s">
        <v>33</v>
      </c>
      <c r="DE42" s="533" t="s">
        <v>33</v>
      </c>
      <c r="DF42" s="533" t="s">
        <v>33</v>
      </c>
      <c r="DG42" s="533" t="s">
        <v>33</v>
      </c>
      <c r="DH42" s="533" t="s">
        <v>33</v>
      </c>
      <c r="DI42" s="533" t="s">
        <v>33</v>
      </c>
      <c r="DJ42" s="533" t="s">
        <v>33</v>
      </c>
      <c r="DK42" s="534">
        <f t="shared" si="192"/>
        <v>1</v>
      </c>
      <c r="DL42" s="206" t="s">
        <v>33</v>
      </c>
    </row>
    <row r="44" spans="1:116" x14ac:dyDescent="0.25">
      <c r="J44" s="35"/>
      <c r="K44"/>
      <c r="M44" s="35"/>
      <c r="N44"/>
    </row>
    <row r="47" spans="1:116" x14ac:dyDescent="0.25">
      <c r="J47" s="35"/>
      <c r="K47"/>
      <c r="M47" s="35"/>
      <c r="N47"/>
    </row>
    <row r="48" spans="1:116" x14ac:dyDescent="0.25">
      <c r="J48" s="35"/>
      <c r="K48"/>
      <c r="M48" s="35"/>
      <c r="N48"/>
    </row>
    <row r="49" spans="1:21" ht="18.75" x14ac:dyDescent="0.25">
      <c r="B49" s="170" t="s">
        <v>52</v>
      </c>
      <c r="C49" s="171"/>
      <c r="D49" s="171"/>
      <c r="E49" s="171" t="s">
        <v>1325</v>
      </c>
      <c r="J49" s="35"/>
      <c r="K49"/>
      <c r="M49" s="35"/>
      <c r="N49"/>
    </row>
    <row r="50" spans="1:21" ht="18.75" x14ac:dyDescent="0.25">
      <c r="B50" s="170"/>
      <c r="C50" s="171"/>
      <c r="D50" s="171"/>
      <c r="E50" s="171"/>
      <c r="J50" s="35"/>
      <c r="K50"/>
      <c r="M50" s="35"/>
      <c r="N50"/>
    </row>
    <row r="51" spans="1:21" ht="18.75" x14ac:dyDescent="0.25">
      <c r="B51" s="170"/>
      <c r="C51" s="171"/>
      <c r="D51" s="171"/>
      <c r="E51" s="171"/>
      <c r="J51" s="35"/>
      <c r="K51"/>
      <c r="M51" s="35"/>
      <c r="N51"/>
    </row>
    <row r="52" spans="1:21" x14ac:dyDescent="0.25">
      <c r="J52" s="35"/>
      <c r="K52"/>
      <c r="M52" s="35"/>
      <c r="N52"/>
    </row>
    <row r="53" spans="1:21" x14ac:dyDescent="0.25">
      <c r="J53" s="35"/>
      <c r="K53"/>
      <c r="M53" s="35"/>
      <c r="N53"/>
    </row>
    <row r="54" spans="1:21" s="30" customFormat="1" x14ac:dyDescent="0.25">
      <c r="A54" s="633" t="s">
        <v>156</v>
      </c>
      <c r="B54" s="633"/>
      <c r="C54" s="633"/>
      <c r="D54" s="633"/>
      <c r="E54" s="633"/>
      <c r="F54" s="633"/>
      <c r="G54" s="633"/>
      <c r="H54" s="633"/>
      <c r="I54" s="633"/>
      <c r="J54" s="633"/>
      <c r="K54" s="633"/>
      <c r="L54" s="633"/>
      <c r="M54" s="633"/>
      <c r="N54" s="633"/>
      <c r="O54" s="633"/>
      <c r="P54" s="633"/>
      <c r="Q54" s="633"/>
      <c r="R54" s="172"/>
      <c r="S54" s="87"/>
      <c r="T54" s="88"/>
      <c r="U54" s="88"/>
    </row>
    <row r="55" spans="1:21" s="30" customFormat="1" x14ac:dyDescent="0.25">
      <c r="A55" s="616" t="s">
        <v>157</v>
      </c>
      <c r="B55" s="616"/>
      <c r="C55" s="616"/>
      <c r="D55" s="616"/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  <c r="P55" s="616"/>
      <c r="Q55" s="616"/>
      <c r="R55" s="173"/>
      <c r="S55" s="89"/>
      <c r="T55" s="88"/>
      <c r="U55" s="88"/>
    </row>
    <row r="56" spans="1:21" s="30" customFormat="1" x14ac:dyDescent="0.25">
      <c r="A56" s="616" t="s">
        <v>158</v>
      </c>
      <c r="B56" s="616"/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173"/>
      <c r="S56" s="89"/>
      <c r="T56" s="88"/>
      <c r="U56" s="88"/>
    </row>
    <row r="57" spans="1:21" s="30" customFormat="1" x14ac:dyDescent="0.25">
      <c r="A57" s="616" t="s">
        <v>159</v>
      </c>
      <c r="B57" s="616"/>
      <c r="C57" s="616"/>
      <c r="D57" s="616"/>
      <c r="E57" s="616"/>
      <c r="F57" s="616"/>
      <c r="G57" s="616"/>
      <c r="H57" s="616"/>
      <c r="I57" s="616"/>
      <c r="J57" s="616"/>
      <c r="K57" s="616"/>
      <c r="L57" s="616"/>
      <c r="M57" s="616"/>
      <c r="N57" s="616"/>
      <c r="O57" s="616"/>
      <c r="P57" s="616"/>
      <c r="Q57" s="616"/>
      <c r="R57" s="173"/>
      <c r="S57" s="89"/>
      <c r="T57" s="88"/>
      <c r="U57" s="88"/>
    </row>
  </sheetData>
  <mergeCells count="38">
    <mergeCell ref="A54:Q54"/>
    <mergeCell ref="A55:Q55"/>
    <mergeCell ref="A56:Q56"/>
    <mergeCell ref="A57:Q57"/>
    <mergeCell ref="A1:S1"/>
    <mergeCell ref="A2:S2"/>
    <mergeCell ref="A3:S3"/>
    <mergeCell ref="A4:S4"/>
    <mergeCell ref="A5:S5"/>
    <mergeCell ref="A6:S6"/>
    <mergeCell ref="A10:DK10"/>
    <mergeCell ref="A11:A14"/>
    <mergeCell ref="A9:S9"/>
    <mergeCell ref="B11:B14"/>
    <mergeCell ref="C11:C14"/>
    <mergeCell ref="D11:S12"/>
    <mergeCell ref="DL11:DL14"/>
    <mergeCell ref="T12:AI12"/>
    <mergeCell ref="AJ12:AY12"/>
    <mergeCell ref="CF12:CU12"/>
    <mergeCell ref="CV12:DK12"/>
    <mergeCell ref="BP12:CE12"/>
    <mergeCell ref="BP13:BW13"/>
    <mergeCell ref="BX13:CE13"/>
    <mergeCell ref="AZ12:BO12"/>
    <mergeCell ref="AZ13:BG13"/>
    <mergeCell ref="BH13:BO13"/>
    <mergeCell ref="T11:DK11"/>
    <mergeCell ref="DD13:DK13"/>
    <mergeCell ref="AR13:AY13"/>
    <mergeCell ref="CF13:CM13"/>
    <mergeCell ref="CN13:CU13"/>
    <mergeCell ref="CV13:DC13"/>
    <mergeCell ref="D13:K13"/>
    <mergeCell ref="L13:S13"/>
    <mergeCell ref="T13:AA13"/>
    <mergeCell ref="AB13:AI13"/>
    <mergeCell ref="AJ13:AQ13"/>
  </mergeCells>
  <pageMargins left="0.70866141732283472" right="0.70866141732283472" top="0.74803149606299213" bottom="0.74803149606299213" header="0.31496062992125984" footer="0.31496062992125984"/>
  <pageSetup paperSize="8" scale="71" fitToWidth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55"/>
  <sheetViews>
    <sheetView topLeftCell="A7" zoomScale="70" zoomScaleNormal="70" workbookViewId="0">
      <selection activeCell="B44" sqref="B44"/>
    </sheetView>
  </sheetViews>
  <sheetFormatPr defaultColWidth="8.85546875" defaultRowHeight="15.75" outlineLevelRow="1" x14ac:dyDescent="0.25"/>
  <cols>
    <col min="1" max="1" width="10" style="14" customWidth="1"/>
    <col min="2" max="2" width="75.42578125" customWidth="1"/>
    <col min="3" max="3" width="19.28515625" bestFit="1" customWidth="1"/>
    <col min="4" max="4" width="35.7109375" customWidth="1"/>
    <col min="5" max="5" width="35.7109375" style="33" customWidth="1"/>
    <col min="6" max="6" width="7.140625" style="33" bestFit="1" customWidth="1"/>
    <col min="7" max="8" width="35.7109375" customWidth="1"/>
    <col min="9" max="9" width="7.140625" bestFit="1" customWidth="1"/>
    <col min="10" max="10" width="5.7109375" style="35" bestFit="1" customWidth="1"/>
    <col min="11" max="11" width="13.85546875" bestFit="1" customWidth="1"/>
  </cols>
  <sheetData>
    <row r="1" spans="1:11" s="132" customFormat="1" x14ac:dyDescent="0.25">
      <c r="A1" s="660" t="s">
        <v>347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</row>
    <row r="2" spans="1:11" s="132" customFormat="1" x14ac:dyDescent="0.25"/>
    <row r="3" spans="1:11" s="132" customFormat="1" x14ac:dyDescent="0.25">
      <c r="A3" s="661" t="s">
        <v>1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4" spans="1:11" s="132" customFormat="1" x14ac:dyDescent="0.25">
      <c r="A4" s="661" t="s">
        <v>76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</row>
    <row r="5" spans="1:11" s="132" customForma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s="132" customFormat="1" x14ac:dyDescent="0.25">
      <c r="A6" s="662" t="s">
        <v>1328</v>
      </c>
      <c r="B6" s="662"/>
      <c r="C6" s="662"/>
      <c r="D6" s="662"/>
      <c r="E6" s="662"/>
      <c r="F6" s="662"/>
      <c r="G6" s="662"/>
      <c r="H6" s="662"/>
      <c r="I6" s="662"/>
      <c r="J6" s="662"/>
      <c r="K6" s="662"/>
    </row>
    <row r="7" spans="1:11" s="132" customForma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s="132" customFormat="1" ht="16.5" customHeight="1" x14ac:dyDescent="0.25">
      <c r="A8" s="662"/>
      <c r="B8" s="662"/>
      <c r="C8" s="662"/>
      <c r="D8" s="662"/>
      <c r="E8" s="662"/>
      <c r="F8" s="662"/>
      <c r="G8" s="662"/>
      <c r="H8" s="662"/>
      <c r="I8" s="662"/>
      <c r="J8" s="662"/>
      <c r="K8" s="662"/>
    </row>
    <row r="9" spans="1:11" s="132" customFormat="1" ht="16.5" customHeight="1" x14ac:dyDescent="0.25">
      <c r="A9" s="662" t="s">
        <v>348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</row>
    <row r="10" spans="1:11" s="132" customFormat="1" ht="18" customHeight="1" x14ac:dyDescent="0.25">
      <c r="A10" s="663" t="s">
        <v>349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</row>
    <row r="11" spans="1:11" s="132" customFormat="1" x14ac:dyDescent="0.25">
      <c r="A11" s="652"/>
      <c r="B11" s="652"/>
      <c r="C11" s="652"/>
      <c r="D11" s="652"/>
      <c r="E11" s="652"/>
      <c r="F11" s="652"/>
      <c r="G11" s="652"/>
      <c r="H11" s="652"/>
      <c r="I11" s="652"/>
      <c r="J11" s="652"/>
      <c r="K11" s="111"/>
    </row>
    <row r="12" spans="1:11" s="132" customFormat="1" ht="53.25" customHeight="1" x14ac:dyDescent="0.25">
      <c r="A12" s="664" t="s">
        <v>3</v>
      </c>
      <c r="B12" s="651" t="s">
        <v>4</v>
      </c>
      <c r="C12" s="651" t="s">
        <v>350</v>
      </c>
      <c r="D12" s="667" t="s">
        <v>351</v>
      </c>
      <c r="E12" s="668"/>
      <c r="F12" s="668"/>
      <c r="G12" s="668"/>
      <c r="H12" s="668"/>
      <c r="I12" s="668"/>
      <c r="J12" s="669"/>
      <c r="K12" s="673" t="s">
        <v>352</v>
      </c>
    </row>
    <row r="13" spans="1:11" s="132" customFormat="1" ht="18" customHeight="1" x14ac:dyDescent="0.25">
      <c r="A13" s="665"/>
      <c r="B13" s="651"/>
      <c r="C13" s="651"/>
      <c r="D13" s="670"/>
      <c r="E13" s="671"/>
      <c r="F13" s="671"/>
      <c r="G13" s="671"/>
      <c r="H13" s="671"/>
      <c r="I13" s="671"/>
      <c r="J13" s="672"/>
      <c r="K13" s="673"/>
    </row>
    <row r="14" spans="1:11" s="132" customFormat="1" ht="31.5" customHeight="1" x14ac:dyDescent="0.25">
      <c r="A14" s="665"/>
      <c r="B14" s="651"/>
      <c r="C14" s="651"/>
      <c r="D14" s="651" t="s">
        <v>353</v>
      </c>
      <c r="E14" s="651"/>
      <c r="F14" s="651"/>
      <c r="G14" s="651" t="s">
        <v>353</v>
      </c>
      <c r="H14" s="651"/>
      <c r="I14" s="651"/>
      <c r="J14" s="113" t="s">
        <v>155</v>
      </c>
      <c r="K14" s="673"/>
    </row>
    <row r="15" spans="1:11" s="132" customFormat="1" ht="81" customHeight="1" x14ac:dyDescent="0.25">
      <c r="A15" s="666"/>
      <c r="B15" s="651"/>
      <c r="C15" s="651"/>
      <c r="D15" s="113" t="s">
        <v>354</v>
      </c>
      <c r="E15" s="113" t="s">
        <v>354</v>
      </c>
      <c r="F15" s="113" t="s">
        <v>155</v>
      </c>
      <c r="G15" s="113" t="s">
        <v>354</v>
      </c>
      <c r="H15" s="113" t="s">
        <v>354</v>
      </c>
      <c r="I15" s="134" t="s">
        <v>155</v>
      </c>
      <c r="J15" s="134" t="s">
        <v>155</v>
      </c>
      <c r="K15" s="673"/>
    </row>
    <row r="16" spans="1:11" s="132" customFormat="1" x14ac:dyDescent="0.25">
      <c r="A16" s="135">
        <v>1</v>
      </c>
      <c r="B16" s="135">
        <v>2</v>
      </c>
      <c r="C16" s="135">
        <v>3</v>
      </c>
      <c r="D16" s="136" t="s">
        <v>267</v>
      </c>
      <c r="E16" s="136" t="s">
        <v>268</v>
      </c>
      <c r="F16" s="136" t="s">
        <v>355</v>
      </c>
      <c r="G16" s="136" t="s">
        <v>274</v>
      </c>
      <c r="H16" s="136" t="s">
        <v>275</v>
      </c>
      <c r="I16" s="136" t="s">
        <v>356</v>
      </c>
      <c r="J16" s="136" t="s">
        <v>22</v>
      </c>
      <c r="K16" s="136" t="s">
        <v>295</v>
      </c>
    </row>
    <row r="17" spans="1:11" s="120" customFormat="1" x14ac:dyDescent="0.25">
      <c r="A17" s="118" t="s">
        <v>31</v>
      </c>
      <c r="B17" s="38" t="s">
        <v>32</v>
      </c>
      <c r="C17" s="119" t="s">
        <v>33</v>
      </c>
      <c r="D17" s="119" t="s">
        <v>33</v>
      </c>
      <c r="E17" s="119" t="s">
        <v>33</v>
      </c>
      <c r="F17" s="119" t="s">
        <v>33</v>
      </c>
      <c r="G17" s="119" t="s">
        <v>33</v>
      </c>
      <c r="H17" s="119" t="s">
        <v>33</v>
      </c>
      <c r="I17" s="119" t="s">
        <v>33</v>
      </c>
      <c r="J17" s="119" t="s">
        <v>33</v>
      </c>
      <c r="K17" s="119" t="s">
        <v>33</v>
      </c>
    </row>
    <row r="18" spans="1:11" s="123" customFormat="1" x14ac:dyDescent="0.25">
      <c r="A18" s="121" t="s">
        <v>55</v>
      </c>
      <c r="B18" s="9" t="s">
        <v>34</v>
      </c>
      <c r="C18" s="122" t="s">
        <v>33</v>
      </c>
      <c r="D18" s="122" t="s">
        <v>33</v>
      </c>
      <c r="E18" s="122" t="s">
        <v>33</v>
      </c>
      <c r="F18" s="122" t="s">
        <v>33</v>
      </c>
      <c r="G18" s="122" t="s">
        <v>33</v>
      </c>
      <c r="H18" s="122" t="s">
        <v>33</v>
      </c>
      <c r="I18" s="122" t="s">
        <v>33</v>
      </c>
      <c r="J18" s="122" t="s">
        <v>33</v>
      </c>
      <c r="K18" s="122" t="s">
        <v>33</v>
      </c>
    </row>
    <row r="19" spans="1:11" s="120" customFormat="1" ht="31.5" x14ac:dyDescent="0.25">
      <c r="A19" s="118" t="s">
        <v>36</v>
      </c>
      <c r="B19" s="38" t="s">
        <v>37</v>
      </c>
      <c r="C19" s="119" t="str">
        <f>C20</f>
        <v>нд</v>
      </c>
      <c r="D19" s="119" t="str">
        <f>D20</f>
        <v>нд</v>
      </c>
      <c r="E19" s="119" t="str">
        <f t="shared" ref="E19:K20" si="0">E20</f>
        <v>нд</v>
      </c>
      <c r="F19" s="119" t="str">
        <f t="shared" si="0"/>
        <v>нд</v>
      </c>
      <c r="G19" s="119" t="str">
        <f t="shared" si="0"/>
        <v>нд</v>
      </c>
      <c r="H19" s="119" t="str">
        <f t="shared" si="0"/>
        <v>нд</v>
      </c>
      <c r="I19" s="119" t="str">
        <f t="shared" si="0"/>
        <v>нд</v>
      </c>
      <c r="J19" s="119" t="str">
        <f t="shared" si="0"/>
        <v>нд</v>
      </c>
      <c r="K19" s="119" t="str">
        <f t="shared" si="0"/>
        <v>нд</v>
      </c>
    </row>
    <row r="20" spans="1:11" s="126" customFormat="1" ht="47.25" x14ac:dyDescent="0.25">
      <c r="A20" s="124" t="s">
        <v>53</v>
      </c>
      <c r="B20" s="39" t="s">
        <v>54</v>
      </c>
      <c r="C20" s="125" t="str">
        <f>C21</f>
        <v>нд</v>
      </c>
      <c r="D20" s="125" t="str">
        <f>D21</f>
        <v>нд</v>
      </c>
      <c r="E20" s="125" t="str">
        <f t="shared" si="0"/>
        <v>нд</v>
      </c>
      <c r="F20" s="125" t="str">
        <f t="shared" si="0"/>
        <v>нд</v>
      </c>
      <c r="G20" s="125" t="str">
        <f t="shared" si="0"/>
        <v>нд</v>
      </c>
      <c r="H20" s="125" t="str">
        <f t="shared" si="0"/>
        <v>нд</v>
      </c>
      <c r="I20" s="125" t="str">
        <f t="shared" si="0"/>
        <v>нд</v>
      </c>
      <c r="J20" s="125" t="str">
        <f t="shared" si="0"/>
        <v>нд</v>
      </c>
      <c r="K20" s="125" t="str">
        <f t="shared" si="0"/>
        <v>нд</v>
      </c>
    </row>
    <row r="21" spans="1:11" s="129" customFormat="1" ht="16.5" customHeight="1" x14ac:dyDescent="0.25">
      <c r="A21" s="127" t="s">
        <v>38</v>
      </c>
      <c r="B21" s="10" t="s">
        <v>39</v>
      </c>
      <c r="C21" s="317" t="s">
        <v>33</v>
      </c>
      <c r="D21" s="317" t="s">
        <v>33</v>
      </c>
      <c r="E21" s="317" t="s">
        <v>33</v>
      </c>
      <c r="F21" s="317" t="s">
        <v>33</v>
      </c>
      <c r="G21" s="317" t="s">
        <v>33</v>
      </c>
      <c r="H21" s="317" t="s">
        <v>33</v>
      </c>
      <c r="I21" s="317" t="s">
        <v>33</v>
      </c>
      <c r="J21" s="317" t="s">
        <v>33</v>
      </c>
      <c r="K21" s="317" t="s">
        <v>33</v>
      </c>
    </row>
    <row r="22" spans="1:11" s="191" customFormat="1" ht="30" x14ac:dyDescent="0.25">
      <c r="A22" s="13" t="s">
        <v>40</v>
      </c>
      <c r="B22" s="375" t="s">
        <v>1330</v>
      </c>
      <c r="C22" s="410" t="s">
        <v>1348</v>
      </c>
      <c r="D22" s="317" t="s">
        <v>33</v>
      </c>
      <c r="E22" s="317" t="s">
        <v>33</v>
      </c>
      <c r="F22" s="317" t="s">
        <v>33</v>
      </c>
      <c r="G22" s="317" t="s">
        <v>33</v>
      </c>
      <c r="H22" s="317" t="s">
        <v>33</v>
      </c>
      <c r="I22" s="317" t="s">
        <v>33</v>
      </c>
      <c r="J22" s="317" t="s">
        <v>33</v>
      </c>
      <c r="K22" s="317" t="s">
        <v>33</v>
      </c>
    </row>
    <row r="23" spans="1:11" s="191" customFormat="1" x14ac:dyDescent="0.25">
      <c r="A23" s="13" t="s">
        <v>465</v>
      </c>
      <c r="B23" s="237" t="s">
        <v>648</v>
      </c>
      <c r="C23" s="410" t="s">
        <v>637</v>
      </c>
      <c r="D23" s="317" t="s">
        <v>33</v>
      </c>
      <c r="E23" s="317" t="s">
        <v>33</v>
      </c>
      <c r="F23" s="317" t="s">
        <v>33</v>
      </c>
      <c r="G23" s="317" t="s">
        <v>33</v>
      </c>
      <c r="H23" s="317" t="s">
        <v>33</v>
      </c>
      <c r="I23" s="317" t="s">
        <v>33</v>
      </c>
      <c r="J23" s="317" t="s">
        <v>33</v>
      </c>
      <c r="K23" s="317" t="s">
        <v>33</v>
      </c>
    </row>
    <row r="24" spans="1:11" s="191" customFormat="1" x14ac:dyDescent="0.25">
      <c r="A24" s="13" t="s">
        <v>615</v>
      </c>
      <c r="B24" s="237" t="s">
        <v>649</v>
      </c>
      <c r="C24" s="410" t="s">
        <v>638</v>
      </c>
      <c r="D24" s="317" t="s">
        <v>33</v>
      </c>
      <c r="E24" s="317" t="s">
        <v>33</v>
      </c>
      <c r="F24" s="317" t="s">
        <v>33</v>
      </c>
      <c r="G24" s="317" t="s">
        <v>33</v>
      </c>
      <c r="H24" s="317" t="s">
        <v>33</v>
      </c>
      <c r="I24" s="317" t="s">
        <v>33</v>
      </c>
      <c r="J24" s="317" t="s">
        <v>33</v>
      </c>
      <c r="K24" s="317" t="s">
        <v>33</v>
      </c>
    </row>
    <row r="25" spans="1:11" s="126" customFormat="1" ht="31.5" x14ac:dyDescent="0.25">
      <c r="A25" s="124" t="s">
        <v>41</v>
      </c>
      <c r="B25" s="39" t="s">
        <v>42</v>
      </c>
      <c r="C25" s="125" t="str">
        <f>C26</f>
        <v>нд</v>
      </c>
      <c r="D25" s="125" t="str">
        <f>D26</f>
        <v>нд</v>
      </c>
      <c r="E25" s="125" t="str">
        <f t="shared" ref="E25:K25" si="1">E26</f>
        <v>нд</v>
      </c>
      <c r="F25" s="125" t="str">
        <f t="shared" si="1"/>
        <v>нд</v>
      </c>
      <c r="G25" s="125" t="str">
        <f t="shared" si="1"/>
        <v>нд</v>
      </c>
      <c r="H25" s="125" t="str">
        <f t="shared" si="1"/>
        <v>нд</v>
      </c>
      <c r="I25" s="125" t="str">
        <f t="shared" si="1"/>
        <v>нд</v>
      </c>
      <c r="J25" s="125" t="str">
        <f t="shared" si="1"/>
        <v>нд</v>
      </c>
      <c r="K25" s="125" t="str">
        <f t="shared" si="1"/>
        <v>нд</v>
      </c>
    </row>
    <row r="26" spans="1:11" s="129" customFormat="1" x14ac:dyDescent="0.25">
      <c r="A26" s="127" t="s">
        <v>49</v>
      </c>
      <c r="B26" s="10" t="s">
        <v>50</v>
      </c>
      <c r="C26" s="317" t="s">
        <v>33</v>
      </c>
      <c r="D26" s="317" t="s">
        <v>33</v>
      </c>
      <c r="E26" s="317" t="s">
        <v>33</v>
      </c>
      <c r="F26" s="317" t="s">
        <v>33</v>
      </c>
      <c r="G26" s="317" t="s">
        <v>33</v>
      </c>
      <c r="H26" s="317" t="s">
        <v>33</v>
      </c>
      <c r="I26" s="317" t="s">
        <v>33</v>
      </c>
      <c r="J26" s="317" t="s">
        <v>33</v>
      </c>
      <c r="K26" s="317" t="s">
        <v>33</v>
      </c>
    </row>
    <row r="27" spans="1:11" s="129" customFormat="1" ht="47.25" x14ac:dyDescent="0.25">
      <c r="A27" s="13" t="s">
        <v>51</v>
      </c>
      <c r="B27" s="236" t="s">
        <v>650</v>
      </c>
      <c r="C27" s="410" t="s">
        <v>1329</v>
      </c>
      <c r="D27" s="317" t="s">
        <v>33</v>
      </c>
      <c r="E27" s="317" t="s">
        <v>33</v>
      </c>
      <c r="F27" s="317" t="s">
        <v>33</v>
      </c>
      <c r="G27" s="317" t="s">
        <v>33</v>
      </c>
      <c r="H27" s="317" t="s">
        <v>33</v>
      </c>
      <c r="I27" s="317" t="s">
        <v>33</v>
      </c>
      <c r="J27" s="317" t="s">
        <v>33</v>
      </c>
      <c r="K27" s="317" t="s">
        <v>33</v>
      </c>
    </row>
    <row r="28" spans="1:11" s="129" customFormat="1" x14ac:dyDescent="0.25">
      <c r="A28" s="13" t="s">
        <v>578</v>
      </c>
      <c r="B28" s="236" t="s">
        <v>651</v>
      </c>
      <c r="C28" s="410" t="s">
        <v>1349</v>
      </c>
      <c r="D28" s="317" t="s">
        <v>33</v>
      </c>
      <c r="E28" s="317" t="s">
        <v>33</v>
      </c>
      <c r="F28" s="317" t="s">
        <v>33</v>
      </c>
      <c r="G28" s="317" t="s">
        <v>33</v>
      </c>
      <c r="H28" s="317" t="s">
        <v>33</v>
      </c>
      <c r="I28" s="317" t="s">
        <v>33</v>
      </c>
      <c r="J28" s="317" t="s">
        <v>33</v>
      </c>
      <c r="K28" s="317" t="s">
        <v>33</v>
      </c>
    </row>
    <row r="29" spans="1:11" s="129" customFormat="1" x14ac:dyDescent="0.25">
      <c r="A29" s="13" t="s">
        <v>580</v>
      </c>
      <c r="B29" s="236" t="s">
        <v>652</v>
      </c>
      <c r="C29" s="410" t="s">
        <v>1350</v>
      </c>
      <c r="D29" s="317" t="s">
        <v>33</v>
      </c>
      <c r="E29" s="317" t="s">
        <v>33</v>
      </c>
      <c r="F29" s="317" t="s">
        <v>33</v>
      </c>
      <c r="G29" s="317" t="s">
        <v>33</v>
      </c>
      <c r="H29" s="317" t="s">
        <v>33</v>
      </c>
      <c r="I29" s="317" t="s">
        <v>33</v>
      </c>
      <c r="J29" s="317" t="s">
        <v>33</v>
      </c>
      <c r="K29" s="317" t="s">
        <v>33</v>
      </c>
    </row>
    <row r="30" spans="1:11" s="129" customFormat="1" ht="31.5" x14ac:dyDescent="0.25">
      <c r="A30" s="13" t="s">
        <v>581</v>
      </c>
      <c r="B30" s="236" t="s">
        <v>1340</v>
      </c>
      <c r="C30" s="410" t="s">
        <v>1351</v>
      </c>
      <c r="D30" s="317" t="s">
        <v>33</v>
      </c>
      <c r="E30" s="317" t="s">
        <v>33</v>
      </c>
      <c r="F30" s="317" t="s">
        <v>33</v>
      </c>
      <c r="G30" s="317" t="s">
        <v>33</v>
      </c>
      <c r="H30" s="317" t="s">
        <v>33</v>
      </c>
      <c r="I30" s="317" t="s">
        <v>33</v>
      </c>
      <c r="J30" s="317" t="s">
        <v>33</v>
      </c>
      <c r="K30" s="317" t="s">
        <v>33</v>
      </c>
    </row>
    <row r="31" spans="1:11" s="191" customFormat="1" ht="47.25" x14ac:dyDescent="0.25">
      <c r="A31" s="13" t="s">
        <v>1368</v>
      </c>
      <c r="B31" s="236" t="s">
        <v>653</v>
      </c>
      <c r="C31" s="410" t="s">
        <v>640</v>
      </c>
      <c r="D31" s="317" t="s">
        <v>33</v>
      </c>
      <c r="E31" s="317" t="s">
        <v>33</v>
      </c>
      <c r="F31" s="317" t="s">
        <v>33</v>
      </c>
      <c r="G31" s="317" t="s">
        <v>33</v>
      </c>
      <c r="H31" s="317" t="s">
        <v>33</v>
      </c>
      <c r="I31" s="317" t="s">
        <v>33</v>
      </c>
      <c r="J31" s="317" t="s">
        <v>33</v>
      </c>
      <c r="K31" s="317" t="s">
        <v>33</v>
      </c>
    </row>
    <row r="32" spans="1:11" s="126" customFormat="1" ht="31.5" x14ac:dyDescent="0.25">
      <c r="A32" s="124" t="s">
        <v>68</v>
      </c>
      <c r="B32" s="39" t="s">
        <v>69</v>
      </c>
      <c r="C32" s="125" t="s">
        <v>33</v>
      </c>
      <c r="D32" s="125" t="s">
        <v>33</v>
      </c>
      <c r="E32" s="125" t="s">
        <v>33</v>
      </c>
      <c r="F32" s="125" t="s">
        <v>33</v>
      </c>
      <c r="G32" s="125" t="s">
        <v>33</v>
      </c>
      <c r="H32" s="125" t="s">
        <v>33</v>
      </c>
      <c r="I32" s="125" t="s">
        <v>33</v>
      </c>
      <c r="J32" s="125" t="s">
        <v>33</v>
      </c>
      <c r="K32" s="125" t="s">
        <v>33</v>
      </c>
    </row>
    <row r="33" spans="1:14" s="129" customFormat="1" ht="31.5" outlineLevel="1" x14ac:dyDescent="0.25">
      <c r="A33" s="127" t="s">
        <v>70</v>
      </c>
      <c r="B33" s="10" t="s">
        <v>71</v>
      </c>
      <c r="C33" s="317" t="s">
        <v>33</v>
      </c>
      <c r="D33" s="317" t="s">
        <v>33</v>
      </c>
      <c r="E33" s="317" t="s">
        <v>33</v>
      </c>
      <c r="F33" s="317" t="s">
        <v>33</v>
      </c>
      <c r="G33" s="317" t="s">
        <v>33</v>
      </c>
      <c r="H33" s="317" t="s">
        <v>33</v>
      </c>
      <c r="I33" s="317" t="s">
        <v>33</v>
      </c>
      <c r="J33" s="317" t="s">
        <v>33</v>
      </c>
      <c r="K33" s="317" t="s">
        <v>33</v>
      </c>
    </row>
    <row r="34" spans="1:14" s="129" customFormat="1" outlineLevel="1" x14ac:dyDescent="0.25">
      <c r="A34" s="13" t="s">
        <v>616</v>
      </c>
      <c r="B34" s="210" t="s">
        <v>621</v>
      </c>
      <c r="C34" s="201" t="s">
        <v>641</v>
      </c>
      <c r="D34" s="317" t="s">
        <v>33</v>
      </c>
      <c r="E34" s="317" t="s">
        <v>33</v>
      </c>
      <c r="F34" s="317" t="s">
        <v>33</v>
      </c>
      <c r="G34" s="317" t="s">
        <v>33</v>
      </c>
      <c r="H34" s="317" t="s">
        <v>33</v>
      </c>
      <c r="I34" s="317" t="s">
        <v>33</v>
      </c>
      <c r="J34" s="317" t="s">
        <v>33</v>
      </c>
      <c r="K34" s="317" t="s">
        <v>33</v>
      </c>
    </row>
    <row r="35" spans="1:14" s="129" customFormat="1" ht="31.5" outlineLevel="1" x14ac:dyDescent="0.25">
      <c r="A35" s="13" t="s">
        <v>619</v>
      </c>
      <c r="B35" s="210" t="s">
        <v>1334</v>
      </c>
      <c r="C35" s="201" t="s">
        <v>1341</v>
      </c>
      <c r="D35" s="317" t="s">
        <v>33</v>
      </c>
      <c r="E35" s="317" t="s">
        <v>33</v>
      </c>
      <c r="F35" s="317" t="s">
        <v>33</v>
      </c>
      <c r="G35" s="317" t="s">
        <v>33</v>
      </c>
      <c r="H35" s="317" t="s">
        <v>33</v>
      </c>
      <c r="I35" s="317" t="s">
        <v>33</v>
      </c>
      <c r="J35" s="317" t="s">
        <v>33</v>
      </c>
      <c r="K35" s="317" t="s">
        <v>33</v>
      </c>
    </row>
    <row r="36" spans="1:14" s="129" customFormat="1" outlineLevel="1" x14ac:dyDescent="0.25">
      <c r="A36" s="13" t="s">
        <v>620</v>
      </c>
      <c r="B36" s="210" t="s">
        <v>621</v>
      </c>
      <c r="C36" s="201" t="s">
        <v>644</v>
      </c>
      <c r="D36" s="317" t="s">
        <v>33</v>
      </c>
      <c r="E36" s="317" t="s">
        <v>33</v>
      </c>
      <c r="F36" s="317" t="s">
        <v>33</v>
      </c>
      <c r="G36" s="317" t="s">
        <v>33</v>
      </c>
      <c r="H36" s="317" t="s">
        <v>33</v>
      </c>
      <c r="I36" s="317" t="s">
        <v>33</v>
      </c>
      <c r="J36" s="317" t="s">
        <v>33</v>
      </c>
      <c r="K36" s="317" t="s">
        <v>33</v>
      </c>
    </row>
    <row r="37" spans="1:14" s="129" customFormat="1" outlineLevel="1" x14ac:dyDescent="0.25">
      <c r="A37" s="13" t="s">
        <v>1339</v>
      </c>
      <c r="B37" s="210" t="s">
        <v>621</v>
      </c>
      <c r="C37" s="201" t="s">
        <v>645</v>
      </c>
      <c r="D37" s="317" t="s">
        <v>33</v>
      </c>
      <c r="E37" s="317" t="s">
        <v>33</v>
      </c>
      <c r="F37" s="317" t="s">
        <v>33</v>
      </c>
      <c r="G37" s="317" t="s">
        <v>33</v>
      </c>
      <c r="H37" s="317" t="s">
        <v>33</v>
      </c>
      <c r="I37" s="317" t="s">
        <v>33</v>
      </c>
      <c r="J37" s="317" t="s">
        <v>33</v>
      </c>
      <c r="K37" s="317" t="s">
        <v>33</v>
      </c>
    </row>
    <row r="38" spans="1:14" s="178" customFormat="1" x14ac:dyDescent="0.25">
      <c r="A38" s="18" t="s">
        <v>466</v>
      </c>
      <c r="B38" s="168" t="s">
        <v>467</v>
      </c>
      <c r="C38" s="333" t="s">
        <v>33</v>
      </c>
      <c r="D38" s="333" t="s">
        <v>33</v>
      </c>
      <c r="E38" s="333" t="s">
        <v>33</v>
      </c>
      <c r="F38" s="333" t="s">
        <v>33</v>
      </c>
      <c r="G38" s="333" t="s">
        <v>33</v>
      </c>
      <c r="H38" s="333" t="s">
        <v>33</v>
      </c>
      <c r="I38" s="333" t="s">
        <v>33</v>
      </c>
      <c r="J38" s="333" t="s">
        <v>33</v>
      </c>
      <c r="K38" s="333" t="s">
        <v>33</v>
      </c>
    </row>
    <row r="39" spans="1:14" s="189" customFormat="1" x14ac:dyDescent="0.25">
      <c r="A39" s="187" t="s">
        <v>468</v>
      </c>
      <c r="B39" s="399" t="s">
        <v>623</v>
      </c>
      <c r="C39" s="201" t="s">
        <v>1352</v>
      </c>
      <c r="D39" s="206" t="s">
        <v>33</v>
      </c>
      <c r="E39" s="206" t="s">
        <v>33</v>
      </c>
      <c r="F39" s="206" t="s">
        <v>33</v>
      </c>
      <c r="G39" s="206" t="s">
        <v>33</v>
      </c>
      <c r="H39" s="206" t="s">
        <v>33</v>
      </c>
      <c r="I39" s="206" t="s">
        <v>33</v>
      </c>
      <c r="J39" s="206" t="s">
        <v>33</v>
      </c>
      <c r="K39" s="206" t="s">
        <v>33</v>
      </c>
    </row>
    <row r="40" spans="1:14" s="189" customFormat="1" x14ac:dyDescent="0.25">
      <c r="A40" s="187" t="s">
        <v>622</v>
      </c>
      <c r="B40" s="237" t="s">
        <v>1337</v>
      </c>
      <c r="C40" s="201" t="s">
        <v>1353</v>
      </c>
      <c r="D40" s="206" t="s">
        <v>33</v>
      </c>
      <c r="E40" s="206" t="s">
        <v>33</v>
      </c>
      <c r="F40" s="206" t="s">
        <v>33</v>
      </c>
      <c r="G40" s="206" t="s">
        <v>33</v>
      </c>
      <c r="H40" s="206" t="s">
        <v>33</v>
      </c>
      <c r="I40" s="206" t="s">
        <v>33</v>
      </c>
      <c r="J40" s="206" t="s">
        <v>33</v>
      </c>
      <c r="K40" s="206" t="s">
        <v>33</v>
      </c>
    </row>
    <row r="41" spans="1:14" s="189" customFormat="1" x14ac:dyDescent="0.25">
      <c r="A41" s="187" t="s">
        <v>1335</v>
      </c>
      <c r="B41" s="399" t="s">
        <v>624</v>
      </c>
      <c r="C41" s="201" t="s">
        <v>646</v>
      </c>
      <c r="D41" s="206" t="s">
        <v>33</v>
      </c>
      <c r="E41" s="206" t="s">
        <v>33</v>
      </c>
      <c r="F41" s="206" t="s">
        <v>33</v>
      </c>
      <c r="G41" s="206" t="s">
        <v>33</v>
      </c>
      <c r="H41" s="206" t="s">
        <v>33</v>
      </c>
      <c r="I41" s="206" t="s">
        <v>33</v>
      </c>
      <c r="J41" s="206" t="s">
        <v>33</v>
      </c>
      <c r="K41" s="206" t="s">
        <v>33</v>
      </c>
    </row>
    <row r="43" spans="1:14" x14ac:dyDescent="0.25">
      <c r="J43"/>
      <c r="K43" s="35"/>
      <c r="N43" s="35"/>
    </row>
    <row r="44" spans="1:14" x14ac:dyDescent="0.25">
      <c r="J44"/>
      <c r="K44" s="35"/>
      <c r="N44" s="35"/>
    </row>
    <row r="45" spans="1:14" x14ac:dyDescent="0.25">
      <c r="M45" s="35"/>
    </row>
    <row r="46" spans="1:14" x14ac:dyDescent="0.25">
      <c r="M46" s="35"/>
    </row>
    <row r="47" spans="1:14" ht="18.75" x14ac:dyDescent="0.25">
      <c r="B47" s="170" t="s">
        <v>52</v>
      </c>
      <c r="C47" s="171"/>
      <c r="D47" s="171"/>
      <c r="E47" s="171" t="s">
        <v>1325</v>
      </c>
      <c r="M47" s="35"/>
    </row>
    <row r="48" spans="1:14" ht="18.75" x14ac:dyDescent="0.25">
      <c r="B48" s="170"/>
      <c r="C48" s="171"/>
      <c r="D48" s="171"/>
      <c r="E48" s="171"/>
      <c r="M48" s="35"/>
    </row>
    <row r="49" spans="1:13" ht="18.75" x14ac:dyDescent="0.25">
      <c r="B49" s="170"/>
      <c r="C49" s="171"/>
      <c r="D49" s="171"/>
      <c r="E49" s="171"/>
      <c r="M49" s="35"/>
    </row>
    <row r="50" spans="1:13" x14ac:dyDescent="0.25">
      <c r="M50" s="35"/>
    </row>
    <row r="51" spans="1:13" x14ac:dyDescent="0.25">
      <c r="M51" s="35"/>
    </row>
    <row r="52" spans="1:13" s="30" customFormat="1" x14ac:dyDescent="0.25">
      <c r="A52" s="633" t="s">
        <v>156</v>
      </c>
      <c r="B52" s="633"/>
      <c r="C52" s="633"/>
      <c r="D52" s="633"/>
      <c r="E52" s="633"/>
      <c r="F52" s="633"/>
      <c r="G52" s="633"/>
      <c r="H52" s="633"/>
      <c r="I52" s="633"/>
      <c r="J52" s="633"/>
      <c r="K52" s="633"/>
    </row>
    <row r="53" spans="1:13" s="30" customFormat="1" x14ac:dyDescent="0.25">
      <c r="A53" s="616" t="s">
        <v>157</v>
      </c>
      <c r="B53" s="616"/>
      <c r="C53" s="616"/>
      <c r="D53" s="616"/>
      <c r="E53" s="616"/>
      <c r="F53" s="616"/>
      <c r="G53" s="616"/>
      <c r="H53" s="616"/>
      <c r="I53" s="616"/>
      <c r="J53" s="616"/>
      <c r="K53" s="616"/>
    </row>
    <row r="54" spans="1:13" s="30" customFormat="1" x14ac:dyDescent="0.25">
      <c r="A54" s="616" t="s">
        <v>158</v>
      </c>
      <c r="B54" s="616"/>
      <c r="C54" s="616"/>
      <c r="D54" s="616"/>
      <c r="E54" s="616"/>
      <c r="F54" s="616"/>
      <c r="G54" s="616"/>
      <c r="H54" s="616"/>
      <c r="I54" s="616"/>
      <c r="J54" s="616"/>
      <c r="K54" s="616"/>
    </row>
    <row r="55" spans="1:13" s="30" customFormat="1" x14ac:dyDescent="0.25">
      <c r="A55" s="616" t="s">
        <v>159</v>
      </c>
      <c r="B55" s="616"/>
      <c r="C55" s="616"/>
      <c r="D55" s="616"/>
      <c r="E55" s="616"/>
      <c r="F55" s="616"/>
      <c r="G55" s="616"/>
      <c r="H55" s="616"/>
      <c r="I55" s="616"/>
      <c r="J55" s="616"/>
      <c r="K55" s="616"/>
    </row>
  </sheetData>
  <mergeCells count="19">
    <mergeCell ref="A9:K9"/>
    <mergeCell ref="A10:K10"/>
    <mergeCell ref="A11:J11"/>
    <mergeCell ref="A12:A15"/>
    <mergeCell ref="B12:B15"/>
    <mergeCell ref="C12:C15"/>
    <mergeCell ref="D12:J13"/>
    <mergeCell ref="K12:K15"/>
    <mergeCell ref="D14:F14"/>
    <mergeCell ref="A1:K1"/>
    <mergeCell ref="A3:K3"/>
    <mergeCell ref="A4:K4"/>
    <mergeCell ref="A6:K6"/>
    <mergeCell ref="A8:K8"/>
    <mergeCell ref="G14:I14"/>
    <mergeCell ref="A52:K52"/>
    <mergeCell ref="A53:K53"/>
    <mergeCell ref="A54:K54"/>
    <mergeCell ref="A55:K55"/>
  </mergeCells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S48"/>
  <sheetViews>
    <sheetView topLeftCell="A22" zoomScale="70" zoomScaleNormal="70" workbookViewId="0">
      <selection activeCell="A31" sqref="A31:C33"/>
    </sheetView>
  </sheetViews>
  <sheetFormatPr defaultColWidth="8.85546875" defaultRowHeight="15.75" outlineLevelRow="1" x14ac:dyDescent="0.25"/>
  <cols>
    <col min="1" max="1" width="10" style="14" customWidth="1"/>
    <col min="2" max="2" width="69.5703125" customWidth="1"/>
    <col min="3" max="3" width="19.28515625" bestFit="1" customWidth="1"/>
    <col min="4" max="4" width="22.5703125" customWidth="1"/>
    <col min="5" max="5" width="19" style="33" customWidth="1"/>
    <col min="6" max="6" width="19.7109375" style="33" customWidth="1"/>
    <col min="7" max="7" width="17.85546875" customWidth="1"/>
    <col min="8" max="8" width="16.7109375" customWidth="1"/>
    <col min="9" max="9" width="17.140625" customWidth="1"/>
    <col min="10" max="10" width="16.85546875" style="35" customWidth="1"/>
    <col min="11" max="11" width="16.140625" customWidth="1"/>
    <col min="12" max="12" width="15.42578125" customWidth="1"/>
    <col min="13" max="13" width="31.140625" customWidth="1"/>
    <col min="14" max="14" width="30" customWidth="1"/>
    <col min="15" max="15" width="14.42578125" bestFit="1" customWidth="1"/>
    <col min="16" max="16" width="14.140625" customWidth="1"/>
    <col min="17" max="17" width="14.28515625" customWidth="1"/>
    <col min="18" max="18" width="14.7109375" customWidth="1"/>
  </cols>
  <sheetData>
    <row r="1" spans="1:45" s="86" customFormat="1" x14ac:dyDescent="0.25">
      <c r="A1" s="647" t="s">
        <v>357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</row>
    <row r="2" spans="1:45" s="86" customForma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37"/>
      <c r="T2" s="137"/>
      <c r="U2" s="137"/>
      <c r="V2" s="137"/>
      <c r="W2" s="137"/>
      <c r="X2" s="137"/>
      <c r="Y2" s="137"/>
      <c r="Z2" s="138"/>
      <c r="AA2" s="138"/>
      <c r="AB2" s="138"/>
      <c r="AC2" s="138"/>
    </row>
    <row r="3" spans="1:45" s="86" customFormat="1" x14ac:dyDescent="0.25">
      <c r="A3" s="610" t="s">
        <v>358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</row>
    <row r="4" spans="1:45" s="86" customFormat="1" x14ac:dyDescent="0.25">
      <c r="A4" s="605" t="s">
        <v>2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</row>
    <row r="5" spans="1:45" s="86" customForma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</row>
    <row r="6" spans="1:45" s="86" customFormat="1" x14ac:dyDescent="0.25">
      <c r="A6" s="600" t="s">
        <v>1343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</row>
    <row r="7" spans="1:45" s="86" customFormat="1" ht="15" x14ac:dyDescent="0.25">
      <c r="A7" s="674"/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140"/>
      <c r="T7" s="137"/>
      <c r="U7" s="137"/>
      <c r="V7" s="137"/>
      <c r="W7" s="137"/>
      <c r="X7" s="137"/>
      <c r="Y7" s="137"/>
      <c r="Z7" s="138"/>
      <c r="AA7" s="138"/>
      <c r="AB7" s="138"/>
      <c r="AC7" s="138"/>
    </row>
    <row r="8" spans="1:45" s="138" customFormat="1" ht="191.25" customHeight="1" x14ac:dyDescent="0.25">
      <c r="A8" s="141" t="s">
        <v>3</v>
      </c>
      <c r="B8" s="141" t="s">
        <v>4</v>
      </c>
      <c r="C8" s="141" t="s">
        <v>5</v>
      </c>
      <c r="D8" s="142" t="s">
        <v>359</v>
      </c>
      <c r="E8" s="142" t="s">
        <v>360</v>
      </c>
      <c r="F8" s="141" t="s">
        <v>361</v>
      </c>
      <c r="G8" s="141" t="s">
        <v>362</v>
      </c>
      <c r="H8" s="141" t="s">
        <v>363</v>
      </c>
      <c r="I8" s="141" t="s">
        <v>364</v>
      </c>
      <c r="J8" s="141" t="s">
        <v>365</v>
      </c>
      <c r="K8" s="141" t="s">
        <v>366</v>
      </c>
      <c r="L8" s="141" t="s">
        <v>367</v>
      </c>
      <c r="M8" s="97" t="s">
        <v>368</v>
      </c>
      <c r="N8" s="97" t="s">
        <v>369</v>
      </c>
      <c r="O8" s="141" t="s">
        <v>370</v>
      </c>
      <c r="P8" s="141" t="s">
        <v>371</v>
      </c>
      <c r="Q8" s="141" t="s">
        <v>372</v>
      </c>
      <c r="R8" s="141" t="s">
        <v>373</v>
      </c>
    </row>
    <row r="9" spans="1:45" s="86" customFormat="1" ht="15.75" customHeight="1" x14ac:dyDescent="0.25">
      <c r="A9" s="63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  <c r="L9" s="63">
        <v>12</v>
      </c>
      <c r="M9" s="63">
        <v>13</v>
      </c>
      <c r="N9" s="63">
        <v>14</v>
      </c>
      <c r="O9" s="63">
        <v>15</v>
      </c>
      <c r="P9" s="63">
        <v>16</v>
      </c>
      <c r="Q9" s="63">
        <v>17</v>
      </c>
      <c r="R9" s="63">
        <v>18</v>
      </c>
      <c r="S9" s="137"/>
    </row>
    <row r="10" spans="1:45" s="120" customFormat="1" x14ac:dyDescent="0.25">
      <c r="A10" s="118" t="s">
        <v>31</v>
      </c>
      <c r="B10" s="38" t="s">
        <v>32</v>
      </c>
      <c r="C10" s="119" t="s">
        <v>33</v>
      </c>
      <c r="D10" s="119" t="s">
        <v>33</v>
      </c>
      <c r="E10" s="119" t="s">
        <v>33</v>
      </c>
      <c r="F10" s="119" t="s">
        <v>33</v>
      </c>
      <c r="G10" s="119" t="str">
        <f t="shared" ref="G10" si="0">G11</f>
        <v>не применимо</v>
      </c>
      <c r="H10" s="119" t="s">
        <v>33</v>
      </c>
      <c r="I10" s="119" t="s">
        <v>33</v>
      </c>
      <c r="J10" s="119" t="s">
        <v>33</v>
      </c>
      <c r="K10" s="119" t="s">
        <v>33</v>
      </c>
      <c r="L10" s="119" t="s">
        <v>33</v>
      </c>
      <c r="M10" s="119" t="s">
        <v>33</v>
      </c>
      <c r="N10" s="119" t="s">
        <v>33</v>
      </c>
      <c r="O10" s="119" t="s">
        <v>33</v>
      </c>
      <c r="P10" s="119" t="s">
        <v>33</v>
      </c>
      <c r="Q10" s="119" t="s">
        <v>33</v>
      </c>
      <c r="R10" s="119" t="s">
        <v>33</v>
      </c>
    </row>
    <row r="11" spans="1:45" s="123" customFormat="1" x14ac:dyDescent="0.25">
      <c r="A11" s="121" t="s">
        <v>55</v>
      </c>
      <c r="B11" s="9" t="s">
        <v>34</v>
      </c>
      <c r="C11" s="122" t="s">
        <v>33</v>
      </c>
      <c r="D11" s="122" t="s">
        <v>33</v>
      </c>
      <c r="E11" s="122" t="s">
        <v>33</v>
      </c>
      <c r="F11" s="122" t="s">
        <v>33</v>
      </c>
      <c r="G11" s="122" t="s">
        <v>1318</v>
      </c>
      <c r="H11" s="122" t="s">
        <v>33</v>
      </c>
      <c r="I11" s="122" t="s">
        <v>33</v>
      </c>
      <c r="J11" s="122" t="s">
        <v>33</v>
      </c>
      <c r="K11" s="122" t="s">
        <v>33</v>
      </c>
      <c r="L11" s="122" t="s">
        <v>33</v>
      </c>
      <c r="M11" s="122" t="s">
        <v>33</v>
      </c>
      <c r="N11" s="122" t="s">
        <v>33</v>
      </c>
      <c r="O11" s="122" t="s">
        <v>33</v>
      </c>
      <c r="P11" s="122" t="s">
        <v>33</v>
      </c>
      <c r="Q11" s="122" t="s">
        <v>33</v>
      </c>
      <c r="R11" s="122" t="s">
        <v>33</v>
      </c>
    </row>
    <row r="12" spans="1:45" s="126" customFormat="1" ht="47.25" x14ac:dyDescent="0.25">
      <c r="A12" s="124" t="s">
        <v>53</v>
      </c>
      <c r="B12" s="39" t="s">
        <v>54</v>
      </c>
      <c r="C12" s="125" t="s">
        <v>33</v>
      </c>
      <c r="D12" s="125" t="s">
        <v>33</v>
      </c>
      <c r="E12" s="125" t="s">
        <v>33</v>
      </c>
      <c r="F12" s="125" t="s">
        <v>33</v>
      </c>
      <c r="G12" s="125" t="s">
        <v>1318</v>
      </c>
      <c r="H12" s="125" t="str">
        <f t="shared" ref="E12:K13" si="1">H13</f>
        <v>нд</v>
      </c>
      <c r="I12" s="125" t="str">
        <f t="shared" si="1"/>
        <v>нд</v>
      </c>
      <c r="J12" s="125" t="str">
        <f t="shared" si="1"/>
        <v>нд</v>
      </c>
      <c r="K12" s="125" t="str">
        <f t="shared" si="1"/>
        <v>нд</v>
      </c>
      <c r="L12" s="125" t="str">
        <f t="shared" ref="L12:M12" si="2">L13</f>
        <v>нд</v>
      </c>
      <c r="M12" s="125" t="str">
        <f t="shared" si="2"/>
        <v>нд</v>
      </c>
      <c r="N12" s="125" t="str">
        <f t="shared" ref="N12" si="3">N13</f>
        <v>нд</v>
      </c>
      <c r="O12" s="125" t="str">
        <f t="shared" ref="O12" si="4">O13</f>
        <v>нд</v>
      </c>
      <c r="P12" s="125" t="str">
        <f t="shared" ref="P12" si="5">P13</f>
        <v>нд</v>
      </c>
      <c r="Q12" s="125" t="str">
        <f t="shared" ref="Q12" si="6">Q13</f>
        <v>нд</v>
      </c>
      <c r="R12" s="125" t="str">
        <f t="shared" ref="R12" si="7">R13</f>
        <v>нд</v>
      </c>
    </row>
    <row r="13" spans="1:45" s="129" customFormat="1" ht="31.5" x14ac:dyDescent="0.25">
      <c r="A13" s="127" t="s">
        <v>38</v>
      </c>
      <c r="B13" s="10" t="s">
        <v>39</v>
      </c>
      <c r="C13" s="317" t="s">
        <v>33</v>
      </c>
      <c r="D13" s="128" t="str">
        <f>D14</f>
        <v>Дальневосточный Федеральный округ</v>
      </c>
      <c r="E13" s="128" t="str">
        <f t="shared" si="1"/>
        <v>Приморский край</v>
      </c>
      <c r="F13" s="190" t="s">
        <v>375</v>
      </c>
      <c r="G13" s="206" t="s">
        <v>1318</v>
      </c>
      <c r="H13" s="317" t="s">
        <v>33</v>
      </c>
      <c r="I13" s="317" t="s">
        <v>33</v>
      </c>
      <c r="J13" s="317" t="s">
        <v>33</v>
      </c>
      <c r="K13" s="317" t="s">
        <v>33</v>
      </c>
      <c r="L13" s="317" t="s">
        <v>33</v>
      </c>
      <c r="M13" s="317" t="s">
        <v>33</v>
      </c>
      <c r="N13" s="317" t="s">
        <v>33</v>
      </c>
      <c r="O13" s="317" t="s">
        <v>33</v>
      </c>
      <c r="P13" s="317" t="s">
        <v>33</v>
      </c>
      <c r="Q13" s="317" t="s">
        <v>33</v>
      </c>
      <c r="R13" s="317" t="s">
        <v>33</v>
      </c>
    </row>
    <row r="14" spans="1:45" s="191" customFormat="1" ht="31.5" x14ac:dyDescent="0.25">
      <c r="A14" s="13" t="s">
        <v>40</v>
      </c>
      <c r="B14" s="375" t="s">
        <v>1330</v>
      </c>
      <c r="C14" s="410" t="s">
        <v>1348</v>
      </c>
      <c r="D14" s="190" t="s">
        <v>374</v>
      </c>
      <c r="E14" s="190" t="s">
        <v>34</v>
      </c>
      <c r="F14" s="190" t="s">
        <v>375</v>
      </c>
      <c r="G14" s="206" t="s">
        <v>1318</v>
      </c>
      <c r="H14" s="190" t="s">
        <v>479</v>
      </c>
      <c r="I14" s="190" t="s">
        <v>479</v>
      </c>
      <c r="J14" s="190" t="s">
        <v>479</v>
      </c>
      <c r="K14" s="190" t="s">
        <v>479</v>
      </c>
      <c r="L14" s="190" t="s">
        <v>479</v>
      </c>
      <c r="M14" s="194" t="s">
        <v>376</v>
      </c>
      <c r="N14" s="190" t="s">
        <v>479</v>
      </c>
      <c r="O14" s="190" t="s">
        <v>479</v>
      </c>
      <c r="P14" s="190" t="s">
        <v>479</v>
      </c>
      <c r="Q14" s="190" t="s">
        <v>479</v>
      </c>
      <c r="R14" s="190" t="s">
        <v>479</v>
      </c>
    </row>
    <row r="15" spans="1:45" s="191" customFormat="1" ht="31.5" x14ac:dyDescent="0.25">
      <c r="A15" s="13" t="s">
        <v>465</v>
      </c>
      <c r="B15" s="237" t="s">
        <v>648</v>
      </c>
      <c r="C15" s="410" t="s">
        <v>637</v>
      </c>
      <c r="D15" s="190" t="s">
        <v>374</v>
      </c>
      <c r="E15" s="190" t="s">
        <v>34</v>
      </c>
      <c r="F15" s="190" t="s">
        <v>375</v>
      </c>
      <c r="G15" s="206" t="s">
        <v>1318</v>
      </c>
      <c r="H15" s="190" t="s">
        <v>479</v>
      </c>
      <c r="I15" s="190" t="s">
        <v>479</v>
      </c>
      <c r="J15" s="190" t="s">
        <v>479</v>
      </c>
      <c r="K15" s="190" t="s">
        <v>479</v>
      </c>
      <c r="L15" s="190" t="s">
        <v>479</v>
      </c>
      <c r="M15" s="194" t="s">
        <v>376</v>
      </c>
      <c r="N15" s="190" t="s">
        <v>479</v>
      </c>
      <c r="O15" s="190" t="s">
        <v>479</v>
      </c>
      <c r="P15" s="190" t="s">
        <v>479</v>
      </c>
      <c r="Q15" s="190" t="s">
        <v>479</v>
      </c>
      <c r="R15" s="190" t="s">
        <v>479</v>
      </c>
    </row>
    <row r="16" spans="1:45" s="191" customFormat="1" ht="31.5" x14ac:dyDescent="0.25">
      <c r="A16" s="13" t="s">
        <v>615</v>
      </c>
      <c r="B16" s="237" t="s">
        <v>649</v>
      </c>
      <c r="C16" s="410" t="s">
        <v>638</v>
      </c>
      <c r="D16" s="190" t="s">
        <v>374</v>
      </c>
      <c r="E16" s="190" t="s">
        <v>34</v>
      </c>
      <c r="F16" s="190" t="s">
        <v>375</v>
      </c>
      <c r="G16" s="206" t="s">
        <v>1318</v>
      </c>
      <c r="H16" s="190" t="s">
        <v>479</v>
      </c>
      <c r="I16" s="190" t="s">
        <v>479</v>
      </c>
      <c r="J16" s="190" t="s">
        <v>479</v>
      </c>
      <c r="K16" s="190" t="s">
        <v>479</v>
      </c>
      <c r="L16" s="190" t="s">
        <v>479</v>
      </c>
      <c r="M16" s="194" t="s">
        <v>376</v>
      </c>
      <c r="N16" s="190" t="s">
        <v>479</v>
      </c>
      <c r="O16" s="190" t="s">
        <v>479</v>
      </c>
      <c r="P16" s="190" t="s">
        <v>479</v>
      </c>
      <c r="Q16" s="190" t="s">
        <v>479</v>
      </c>
      <c r="R16" s="190" t="s">
        <v>479</v>
      </c>
    </row>
    <row r="17" spans="1:18" s="126" customFormat="1" ht="31.5" x14ac:dyDescent="0.25">
      <c r="A17" s="124" t="s">
        <v>41</v>
      </c>
      <c r="B17" s="39" t="s">
        <v>42</v>
      </c>
      <c r="C17" s="125" t="s">
        <v>33</v>
      </c>
      <c r="D17" s="125" t="s">
        <v>33</v>
      </c>
      <c r="E17" s="125" t="s">
        <v>33</v>
      </c>
      <c r="F17" s="125" t="s">
        <v>33</v>
      </c>
      <c r="G17" s="125" t="s">
        <v>1318</v>
      </c>
      <c r="H17" s="125" t="s">
        <v>33</v>
      </c>
      <c r="I17" s="125" t="s">
        <v>33</v>
      </c>
      <c r="J17" s="125" t="s">
        <v>33</v>
      </c>
      <c r="K17" s="125" t="s">
        <v>33</v>
      </c>
      <c r="L17" s="125" t="s">
        <v>33</v>
      </c>
      <c r="M17" s="125" t="s">
        <v>33</v>
      </c>
      <c r="N17" s="125" t="s">
        <v>33</v>
      </c>
      <c r="O17" s="125" t="s">
        <v>33</v>
      </c>
      <c r="P17" s="125" t="s">
        <v>33</v>
      </c>
      <c r="Q17" s="125" t="s">
        <v>33</v>
      </c>
      <c r="R17" s="125" t="s">
        <v>33</v>
      </c>
    </row>
    <row r="18" spans="1:18" s="129" customFormat="1" x14ac:dyDescent="0.25">
      <c r="A18" s="127" t="s">
        <v>49</v>
      </c>
      <c r="B18" s="10" t="s">
        <v>50</v>
      </c>
      <c r="C18" s="317" t="s">
        <v>33</v>
      </c>
      <c r="D18" s="317" t="s">
        <v>33</v>
      </c>
      <c r="E18" s="317" t="s">
        <v>33</v>
      </c>
      <c r="F18" s="317" t="s">
        <v>33</v>
      </c>
      <c r="G18" s="206" t="s">
        <v>1318</v>
      </c>
      <c r="H18" s="317" t="s">
        <v>33</v>
      </c>
      <c r="I18" s="317" t="s">
        <v>33</v>
      </c>
      <c r="J18" s="317" t="s">
        <v>33</v>
      </c>
      <c r="K18" s="317" t="s">
        <v>33</v>
      </c>
      <c r="L18" s="317" t="s">
        <v>33</v>
      </c>
      <c r="M18" s="317" t="s">
        <v>33</v>
      </c>
      <c r="N18" s="317" t="s">
        <v>33</v>
      </c>
      <c r="O18" s="317" t="s">
        <v>33</v>
      </c>
      <c r="P18" s="317" t="s">
        <v>33</v>
      </c>
      <c r="Q18" s="317" t="s">
        <v>33</v>
      </c>
      <c r="R18" s="317" t="s">
        <v>33</v>
      </c>
    </row>
    <row r="19" spans="1:18" s="191" customFormat="1" ht="47.25" x14ac:dyDescent="0.25">
      <c r="A19" s="13" t="s">
        <v>51</v>
      </c>
      <c r="B19" s="236" t="s">
        <v>650</v>
      </c>
      <c r="C19" s="410" t="s">
        <v>1329</v>
      </c>
      <c r="D19" s="190" t="s">
        <v>374</v>
      </c>
      <c r="E19" s="190" t="s">
        <v>34</v>
      </c>
      <c r="F19" s="206" t="s">
        <v>582</v>
      </c>
      <c r="G19" s="206" t="s">
        <v>1318</v>
      </c>
      <c r="H19" s="190" t="s">
        <v>479</v>
      </c>
      <c r="I19" s="190" t="s">
        <v>479</v>
      </c>
      <c r="J19" s="190" t="s">
        <v>479</v>
      </c>
      <c r="K19" s="190" t="s">
        <v>479</v>
      </c>
      <c r="L19" s="190" t="s">
        <v>479</v>
      </c>
      <c r="M19" s="194" t="s">
        <v>376</v>
      </c>
      <c r="N19" s="190" t="s">
        <v>479</v>
      </c>
      <c r="O19" s="190" t="s">
        <v>479</v>
      </c>
      <c r="P19" s="190" t="s">
        <v>479</v>
      </c>
      <c r="Q19" s="190" t="s">
        <v>479</v>
      </c>
      <c r="R19" s="190" t="s">
        <v>479</v>
      </c>
    </row>
    <row r="20" spans="1:18" s="191" customFormat="1" ht="31.5" x14ac:dyDescent="0.25">
      <c r="A20" s="13" t="s">
        <v>578</v>
      </c>
      <c r="B20" s="236" t="s">
        <v>651</v>
      </c>
      <c r="C20" s="410" t="s">
        <v>1349</v>
      </c>
      <c r="D20" s="190" t="s">
        <v>374</v>
      </c>
      <c r="E20" s="190" t="s">
        <v>34</v>
      </c>
      <c r="F20" s="190" t="s">
        <v>375</v>
      </c>
      <c r="G20" s="206" t="s">
        <v>1318</v>
      </c>
      <c r="H20" s="190" t="s">
        <v>479</v>
      </c>
      <c r="I20" s="190" t="s">
        <v>479</v>
      </c>
      <c r="J20" s="190" t="s">
        <v>479</v>
      </c>
      <c r="K20" s="190" t="s">
        <v>479</v>
      </c>
      <c r="L20" s="190" t="s">
        <v>479</v>
      </c>
      <c r="M20" s="194" t="s">
        <v>376</v>
      </c>
      <c r="N20" s="190" t="s">
        <v>479</v>
      </c>
      <c r="O20" s="190" t="s">
        <v>479</v>
      </c>
      <c r="P20" s="190" t="s">
        <v>479</v>
      </c>
      <c r="Q20" s="190" t="s">
        <v>479</v>
      </c>
      <c r="R20" s="190" t="s">
        <v>479</v>
      </c>
    </row>
    <row r="21" spans="1:18" s="191" customFormat="1" ht="31.5" x14ac:dyDescent="0.25">
      <c r="A21" s="13" t="s">
        <v>580</v>
      </c>
      <c r="B21" s="236" t="s">
        <v>652</v>
      </c>
      <c r="C21" s="410" t="s">
        <v>1350</v>
      </c>
      <c r="D21" s="190" t="s">
        <v>374</v>
      </c>
      <c r="E21" s="190" t="s">
        <v>34</v>
      </c>
      <c r="F21" s="190" t="s">
        <v>375</v>
      </c>
      <c r="G21" s="206" t="s">
        <v>1318</v>
      </c>
      <c r="H21" s="190" t="s">
        <v>479</v>
      </c>
      <c r="I21" s="190" t="s">
        <v>479</v>
      </c>
      <c r="J21" s="190" t="s">
        <v>479</v>
      </c>
      <c r="K21" s="190" t="s">
        <v>479</v>
      </c>
      <c r="L21" s="190" t="s">
        <v>479</v>
      </c>
      <c r="M21" s="194" t="s">
        <v>376</v>
      </c>
      <c r="N21" s="190" t="s">
        <v>479</v>
      </c>
      <c r="O21" s="190" t="s">
        <v>479</v>
      </c>
      <c r="P21" s="190" t="s">
        <v>479</v>
      </c>
      <c r="Q21" s="190" t="s">
        <v>479</v>
      </c>
      <c r="R21" s="190" t="s">
        <v>479</v>
      </c>
    </row>
    <row r="22" spans="1:18" s="191" customFormat="1" ht="34.5" customHeight="1" x14ac:dyDescent="0.25">
      <c r="A22" s="13" t="s">
        <v>581</v>
      </c>
      <c r="B22" s="236" t="s">
        <v>1340</v>
      </c>
      <c r="C22" s="410" t="s">
        <v>1351</v>
      </c>
      <c r="D22" s="190" t="s">
        <v>374</v>
      </c>
      <c r="E22" s="190" t="s">
        <v>34</v>
      </c>
      <c r="F22" s="190" t="s">
        <v>375</v>
      </c>
      <c r="G22" s="206" t="s">
        <v>1318</v>
      </c>
      <c r="H22" s="190" t="s">
        <v>479</v>
      </c>
      <c r="I22" s="190" t="s">
        <v>479</v>
      </c>
      <c r="J22" s="190" t="s">
        <v>479</v>
      </c>
      <c r="K22" s="190" t="s">
        <v>479</v>
      </c>
      <c r="L22" s="190" t="s">
        <v>479</v>
      </c>
      <c r="M22" s="194" t="s">
        <v>376</v>
      </c>
      <c r="N22" s="190" t="s">
        <v>479</v>
      </c>
      <c r="O22" s="190" t="s">
        <v>479</v>
      </c>
      <c r="P22" s="190" t="s">
        <v>479</v>
      </c>
      <c r="Q22" s="190" t="s">
        <v>479</v>
      </c>
      <c r="R22" s="190" t="s">
        <v>479</v>
      </c>
    </row>
    <row r="23" spans="1:18" s="191" customFormat="1" ht="54.75" customHeight="1" x14ac:dyDescent="0.25">
      <c r="A23" s="13" t="s">
        <v>1368</v>
      </c>
      <c r="B23" s="236" t="s">
        <v>653</v>
      </c>
      <c r="C23" s="410" t="s">
        <v>640</v>
      </c>
      <c r="D23" s="190" t="s">
        <v>374</v>
      </c>
      <c r="E23" s="190" t="s">
        <v>34</v>
      </c>
      <c r="F23" s="206" t="s">
        <v>582</v>
      </c>
      <c r="G23" s="206" t="s">
        <v>1318</v>
      </c>
      <c r="H23" s="190" t="s">
        <v>479</v>
      </c>
      <c r="I23" s="190" t="s">
        <v>479</v>
      </c>
      <c r="J23" s="190" t="s">
        <v>479</v>
      </c>
      <c r="K23" s="190" t="s">
        <v>479</v>
      </c>
      <c r="L23" s="190" t="s">
        <v>479</v>
      </c>
      <c r="M23" s="194" t="s">
        <v>376</v>
      </c>
      <c r="N23" s="190" t="s">
        <v>479</v>
      </c>
      <c r="O23" s="190" t="s">
        <v>479</v>
      </c>
      <c r="P23" s="190" t="s">
        <v>479</v>
      </c>
      <c r="Q23" s="190" t="s">
        <v>479</v>
      </c>
      <c r="R23" s="190" t="s">
        <v>479</v>
      </c>
    </row>
    <row r="24" spans="1:18" s="126" customFormat="1" ht="31.5" x14ac:dyDescent="0.25">
      <c r="A24" s="124" t="s">
        <v>68</v>
      </c>
      <c r="B24" s="39" t="s">
        <v>69</v>
      </c>
      <c r="C24" s="125" t="s">
        <v>33</v>
      </c>
      <c r="D24" s="125" t="s">
        <v>33</v>
      </c>
      <c r="E24" s="125" t="s">
        <v>33</v>
      </c>
      <c r="F24" s="125" t="s">
        <v>33</v>
      </c>
      <c r="G24" s="125" t="s">
        <v>1318</v>
      </c>
      <c r="H24" s="125" t="s">
        <v>33</v>
      </c>
      <c r="I24" s="125" t="s">
        <v>33</v>
      </c>
      <c r="J24" s="125" t="s">
        <v>33</v>
      </c>
      <c r="K24" s="125" t="s">
        <v>33</v>
      </c>
      <c r="L24" s="125" t="s">
        <v>33</v>
      </c>
      <c r="M24" s="125" t="s">
        <v>33</v>
      </c>
      <c r="N24" s="125" t="s">
        <v>33</v>
      </c>
      <c r="O24" s="125" t="s">
        <v>33</v>
      </c>
      <c r="P24" s="125" t="s">
        <v>33</v>
      </c>
      <c r="Q24" s="125" t="s">
        <v>33</v>
      </c>
      <c r="R24" s="125" t="s">
        <v>33</v>
      </c>
    </row>
    <row r="25" spans="1:18" s="129" customFormat="1" ht="31.5" outlineLevel="1" x14ac:dyDescent="0.25">
      <c r="A25" s="127" t="s">
        <v>70</v>
      </c>
      <c r="B25" s="10" t="s">
        <v>71</v>
      </c>
      <c r="C25" s="317" t="s">
        <v>33</v>
      </c>
      <c r="D25" s="317" t="s">
        <v>33</v>
      </c>
      <c r="E25" s="317" t="s">
        <v>33</v>
      </c>
      <c r="F25" s="317" t="s">
        <v>33</v>
      </c>
      <c r="G25" s="206" t="s">
        <v>1318</v>
      </c>
      <c r="H25" s="317" t="s">
        <v>33</v>
      </c>
      <c r="I25" s="317" t="s">
        <v>33</v>
      </c>
      <c r="J25" s="317" t="s">
        <v>33</v>
      </c>
      <c r="K25" s="317" t="s">
        <v>33</v>
      </c>
      <c r="L25" s="317" t="s">
        <v>33</v>
      </c>
      <c r="M25" s="317" t="s">
        <v>33</v>
      </c>
      <c r="N25" s="317" t="s">
        <v>33</v>
      </c>
      <c r="O25" s="317" t="s">
        <v>33</v>
      </c>
      <c r="P25" s="317" t="s">
        <v>33</v>
      </c>
      <c r="Q25" s="317" t="s">
        <v>33</v>
      </c>
      <c r="R25" s="317" t="s">
        <v>33</v>
      </c>
    </row>
    <row r="26" spans="1:18" s="129" customFormat="1" ht="78.75" outlineLevel="1" x14ac:dyDescent="0.25">
      <c r="A26" s="13" t="s">
        <v>616</v>
      </c>
      <c r="B26" s="210" t="s">
        <v>621</v>
      </c>
      <c r="C26" s="201" t="s">
        <v>641</v>
      </c>
      <c r="D26" s="190" t="s">
        <v>374</v>
      </c>
      <c r="E26" s="190" t="s">
        <v>34</v>
      </c>
      <c r="F26" s="206" t="s">
        <v>1308</v>
      </c>
      <c r="G26" s="206" t="s">
        <v>1318</v>
      </c>
      <c r="H26" s="190" t="s">
        <v>479</v>
      </c>
      <c r="I26" s="190" t="s">
        <v>479</v>
      </c>
      <c r="J26" s="190" t="s">
        <v>479</v>
      </c>
      <c r="K26" s="190" t="s">
        <v>479</v>
      </c>
      <c r="L26" s="190" t="s">
        <v>479</v>
      </c>
      <c r="M26" s="194" t="s">
        <v>376</v>
      </c>
      <c r="N26" s="190" t="s">
        <v>479</v>
      </c>
      <c r="O26" s="190" t="s">
        <v>479</v>
      </c>
      <c r="P26" s="190" t="s">
        <v>479</v>
      </c>
      <c r="Q26" s="190" t="s">
        <v>479</v>
      </c>
      <c r="R26" s="190" t="s">
        <v>479</v>
      </c>
    </row>
    <row r="27" spans="1:18" s="129" customFormat="1" ht="78.75" outlineLevel="1" x14ac:dyDescent="0.25">
      <c r="A27" s="13" t="s">
        <v>619</v>
      </c>
      <c r="B27" s="210" t="s">
        <v>1334</v>
      </c>
      <c r="C27" s="201" t="s">
        <v>1341</v>
      </c>
      <c r="D27" s="190" t="s">
        <v>374</v>
      </c>
      <c r="E27" s="190" t="s">
        <v>34</v>
      </c>
      <c r="F27" s="206" t="s">
        <v>1308</v>
      </c>
      <c r="G27" s="206" t="s">
        <v>1318</v>
      </c>
      <c r="H27" s="190" t="s">
        <v>479</v>
      </c>
      <c r="I27" s="190" t="s">
        <v>479</v>
      </c>
      <c r="J27" s="190" t="s">
        <v>479</v>
      </c>
      <c r="K27" s="190" t="s">
        <v>479</v>
      </c>
      <c r="L27" s="190" t="s">
        <v>479</v>
      </c>
      <c r="M27" s="194" t="s">
        <v>376</v>
      </c>
      <c r="N27" s="190" t="s">
        <v>479</v>
      </c>
      <c r="O27" s="190" t="s">
        <v>479</v>
      </c>
      <c r="P27" s="190" t="s">
        <v>479</v>
      </c>
      <c r="Q27" s="190" t="s">
        <v>479</v>
      </c>
      <c r="R27" s="190" t="s">
        <v>479</v>
      </c>
    </row>
    <row r="28" spans="1:18" s="129" customFormat="1" ht="78.75" outlineLevel="1" x14ac:dyDescent="0.25">
      <c r="A28" s="13" t="s">
        <v>620</v>
      </c>
      <c r="B28" s="210" t="s">
        <v>621</v>
      </c>
      <c r="C28" s="201" t="s">
        <v>644</v>
      </c>
      <c r="D28" s="190" t="s">
        <v>374</v>
      </c>
      <c r="E28" s="190" t="s">
        <v>34</v>
      </c>
      <c r="F28" s="206" t="s">
        <v>1308</v>
      </c>
      <c r="G28" s="206" t="s">
        <v>1318</v>
      </c>
      <c r="H28" s="190" t="s">
        <v>479</v>
      </c>
      <c r="I28" s="190" t="s">
        <v>479</v>
      </c>
      <c r="J28" s="190" t="s">
        <v>479</v>
      </c>
      <c r="K28" s="190" t="s">
        <v>479</v>
      </c>
      <c r="L28" s="190" t="s">
        <v>479</v>
      </c>
      <c r="M28" s="194" t="s">
        <v>376</v>
      </c>
      <c r="N28" s="190" t="s">
        <v>479</v>
      </c>
      <c r="O28" s="190" t="s">
        <v>479</v>
      </c>
      <c r="P28" s="190" t="s">
        <v>479</v>
      </c>
      <c r="Q28" s="190" t="s">
        <v>479</v>
      </c>
      <c r="R28" s="190" t="s">
        <v>479</v>
      </c>
    </row>
    <row r="29" spans="1:18" s="129" customFormat="1" ht="78.75" outlineLevel="1" x14ac:dyDescent="0.25">
      <c r="A29" s="13" t="s">
        <v>1339</v>
      </c>
      <c r="B29" s="210" t="s">
        <v>621</v>
      </c>
      <c r="C29" s="201" t="s">
        <v>645</v>
      </c>
      <c r="D29" s="190" t="s">
        <v>374</v>
      </c>
      <c r="E29" s="190" t="s">
        <v>34</v>
      </c>
      <c r="F29" s="206" t="s">
        <v>1308</v>
      </c>
      <c r="G29" s="206" t="s">
        <v>1318</v>
      </c>
      <c r="H29" s="190" t="s">
        <v>479</v>
      </c>
      <c r="I29" s="190" t="s">
        <v>479</v>
      </c>
      <c r="J29" s="190" t="s">
        <v>479</v>
      </c>
      <c r="K29" s="190" t="s">
        <v>479</v>
      </c>
      <c r="L29" s="190" t="s">
        <v>479</v>
      </c>
      <c r="M29" s="194" t="s">
        <v>376</v>
      </c>
      <c r="N29" s="190" t="s">
        <v>479</v>
      </c>
      <c r="O29" s="190" t="s">
        <v>479</v>
      </c>
      <c r="P29" s="190" t="s">
        <v>479</v>
      </c>
      <c r="Q29" s="190" t="s">
        <v>479</v>
      </c>
      <c r="R29" s="190" t="s">
        <v>479</v>
      </c>
    </row>
    <row r="30" spans="1:18" s="178" customFormat="1" x14ac:dyDescent="0.25">
      <c r="A30" s="18" t="s">
        <v>466</v>
      </c>
      <c r="B30" s="168" t="s">
        <v>467</v>
      </c>
      <c r="C30" s="320" t="s">
        <v>33</v>
      </c>
      <c r="D30" s="320" t="s">
        <v>33</v>
      </c>
      <c r="E30" s="320" t="s">
        <v>33</v>
      </c>
      <c r="F30" s="320" t="s">
        <v>33</v>
      </c>
      <c r="G30" s="320" t="s">
        <v>1318</v>
      </c>
      <c r="H30" s="320" t="s">
        <v>33</v>
      </c>
      <c r="I30" s="320" t="s">
        <v>33</v>
      </c>
      <c r="J30" s="320" t="s">
        <v>33</v>
      </c>
      <c r="K30" s="320" t="s">
        <v>33</v>
      </c>
      <c r="L30" s="320" t="s">
        <v>33</v>
      </c>
      <c r="M30" s="320" t="s">
        <v>33</v>
      </c>
      <c r="N30" s="320" t="s">
        <v>33</v>
      </c>
      <c r="O30" s="320" t="s">
        <v>33</v>
      </c>
      <c r="P30" s="320" t="s">
        <v>33</v>
      </c>
      <c r="Q30" s="320" t="s">
        <v>33</v>
      </c>
      <c r="R30" s="320" t="s">
        <v>33</v>
      </c>
    </row>
    <row r="31" spans="1:18" s="189" customFormat="1" ht="31.5" x14ac:dyDescent="0.25">
      <c r="A31" s="187" t="s">
        <v>468</v>
      </c>
      <c r="B31" s="399" t="s">
        <v>623</v>
      </c>
      <c r="C31" s="201" t="s">
        <v>1352</v>
      </c>
      <c r="D31" s="190" t="s">
        <v>374</v>
      </c>
      <c r="E31" s="190" t="s">
        <v>34</v>
      </c>
      <c r="F31" s="190" t="s">
        <v>375</v>
      </c>
      <c r="G31" s="206" t="s">
        <v>1318</v>
      </c>
      <c r="H31" s="190" t="s">
        <v>479</v>
      </c>
      <c r="I31" s="190" t="s">
        <v>479</v>
      </c>
      <c r="J31" s="190" t="s">
        <v>479</v>
      </c>
      <c r="K31" s="190" t="s">
        <v>479</v>
      </c>
      <c r="L31" s="190" t="s">
        <v>479</v>
      </c>
      <c r="M31" s="194" t="s">
        <v>376</v>
      </c>
      <c r="N31" s="190" t="s">
        <v>479</v>
      </c>
      <c r="O31" s="190" t="s">
        <v>479</v>
      </c>
      <c r="P31" s="190" t="s">
        <v>479</v>
      </c>
      <c r="Q31" s="190" t="s">
        <v>479</v>
      </c>
      <c r="R31" s="190" t="s">
        <v>479</v>
      </c>
    </row>
    <row r="32" spans="1:18" s="189" customFormat="1" ht="31.5" x14ac:dyDescent="0.25">
      <c r="A32" s="187" t="s">
        <v>622</v>
      </c>
      <c r="B32" s="237" t="s">
        <v>1337</v>
      </c>
      <c r="C32" s="201" t="s">
        <v>1353</v>
      </c>
      <c r="D32" s="190" t="s">
        <v>374</v>
      </c>
      <c r="E32" s="190" t="s">
        <v>34</v>
      </c>
      <c r="F32" s="190" t="s">
        <v>375</v>
      </c>
      <c r="G32" s="206" t="s">
        <v>1318</v>
      </c>
      <c r="H32" s="190" t="s">
        <v>479</v>
      </c>
      <c r="I32" s="190" t="s">
        <v>479</v>
      </c>
      <c r="J32" s="190" t="s">
        <v>479</v>
      </c>
      <c r="K32" s="190" t="s">
        <v>479</v>
      </c>
      <c r="L32" s="190" t="s">
        <v>479</v>
      </c>
      <c r="M32" s="194" t="s">
        <v>376</v>
      </c>
      <c r="N32" s="190" t="s">
        <v>479</v>
      </c>
      <c r="O32" s="190" t="s">
        <v>479</v>
      </c>
      <c r="P32" s="190" t="s">
        <v>479</v>
      </c>
      <c r="Q32" s="190" t="s">
        <v>479</v>
      </c>
      <c r="R32" s="190" t="s">
        <v>479</v>
      </c>
    </row>
    <row r="33" spans="1:18" s="189" customFormat="1" ht="31.5" x14ac:dyDescent="0.25">
      <c r="A33" s="187" t="s">
        <v>1335</v>
      </c>
      <c r="B33" s="399" t="s">
        <v>624</v>
      </c>
      <c r="C33" s="201" t="s">
        <v>646</v>
      </c>
      <c r="D33" s="190" t="s">
        <v>374</v>
      </c>
      <c r="E33" s="190" t="s">
        <v>34</v>
      </c>
      <c r="F33" s="190" t="s">
        <v>375</v>
      </c>
      <c r="G33" s="206" t="s">
        <v>1318</v>
      </c>
      <c r="H33" s="190" t="s">
        <v>479</v>
      </c>
      <c r="I33" s="190" t="s">
        <v>479</v>
      </c>
      <c r="J33" s="190" t="s">
        <v>479</v>
      </c>
      <c r="K33" s="190" t="s">
        <v>479</v>
      </c>
      <c r="L33" s="190" t="s">
        <v>479</v>
      </c>
      <c r="M33" s="194" t="s">
        <v>376</v>
      </c>
      <c r="N33" s="190" t="s">
        <v>479</v>
      </c>
      <c r="O33" s="190" t="s">
        <v>479</v>
      </c>
      <c r="P33" s="190" t="s">
        <v>479</v>
      </c>
      <c r="Q33" s="190" t="s">
        <v>479</v>
      </c>
      <c r="R33" s="190" t="s">
        <v>479</v>
      </c>
    </row>
    <row r="36" spans="1:18" x14ac:dyDescent="0.25">
      <c r="J36"/>
      <c r="K36" s="35"/>
      <c r="N36" s="35"/>
    </row>
    <row r="37" spans="1:18" x14ac:dyDescent="0.25">
      <c r="J37"/>
      <c r="K37" s="35"/>
      <c r="N37" s="35"/>
    </row>
    <row r="38" spans="1:18" x14ac:dyDescent="0.25">
      <c r="M38" s="35"/>
    </row>
    <row r="39" spans="1:18" x14ac:dyDescent="0.25">
      <c r="M39" s="35"/>
    </row>
    <row r="40" spans="1:18" ht="18.75" x14ac:dyDescent="0.25">
      <c r="B40" s="170" t="s">
        <v>52</v>
      </c>
      <c r="C40" s="171"/>
      <c r="D40" s="171"/>
      <c r="E40" s="171" t="s">
        <v>1325</v>
      </c>
      <c r="M40" s="35"/>
    </row>
    <row r="41" spans="1:18" ht="18.75" x14ac:dyDescent="0.25">
      <c r="B41" s="170"/>
      <c r="C41" s="171"/>
      <c r="D41" s="171"/>
      <c r="E41" s="171"/>
      <c r="M41" s="35"/>
    </row>
    <row r="42" spans="1:18" ht="18.75" x14ac:dyDescent="0.25">
      <c r="B42" s="170"/>
      <c r="C42" s="171"/>
      <c r="D42" s="171"/>
      <c r="E42" s="171"/>
      <c r="M42" s="35"/>
    </row>
    <row r="43" spans="1:18" x14ac:dyDescent="0.25">
      <c r="M43" s="35"/>
    </row>
    <row r="44" spans="1:18" x14ac:dyDescent="0.25">
      <c r="M44" s="35"/>
    </row>
    <row r="45" spans="1:18" s="30" customFormat="1" x14ac:dyDescent="0.25">
      <c r="A45" s="633" t="s">
        <v>156</v>
      </c>
      <c r="B45" s="633"/>
      <c r="C45" s="633"/>
      <c r="D45" s="633"/>
      <c r="E45" s="633"/>
      <c r="F45" s="633"/>
      <c r="G45" s="633"/>
      <c r="H45" s="633"/>
      <c r="I45" s="633"/>
      <c r="J45" s="633"/>
      <c r="K45" s="633"/>
    </row>
    <row r="46" spans="1:18" s="30" customFormat="1" x14ac:dyDescent="0.25">
      <c r="A46" s="616" t="s">
        <v>157</v>
      </c>
      <c r="B46" s="616"/>
      <c r="C46" s="616"/>
      <c r="D46" s="616"/>
      <c r="E46" s="616"/>
      <c r="F46" s="616"/>
      <c r="G46" s="616"/>
      <c r="H46" s="616"/>
      <c r="I46" s="616"/>
      <c r="J46" s="616"/>
      <c r="K46" s="616"/>
    </row>
    <row r="47" spans="1:18" s="30" customFormat="1" x14ac:dyDescent="0.25">
      <c r="A47" s="616" t="s">
        <v>158</v>
      </c>
      <c r="B47" s="616"/>
      <c r="C47" s="616"/>
      <c r="D47" s="616"/>
      <c r="E47" s="616"/>
      <c r="F47" s="616"/>
      <c r="G47" s="616"/>
      <c r="H47" s="616"/>
      <c r="I47" s="616"/>
      <c r="J47" s="616"/>
      <c r="K47" s="616"/>
    </row>
    <row r="48" spans="1:18" s="30" customFormat="1" x14ac:dyDescent="0.25">
      <c r="A48" s="616" t="s">
        <v>159</v>
      </c>
      <c r="B48" s="616"/>
      <c r="C48" s="616"/>
      <c r="D48" s="616"/>
      <c r="E48" s="616"/>
      <c r="F48" s="616"/>
      <c r="G48" s="616"/>
      <c r="H48" s="616"/>
      <c r="I48" s="616"/>
      <c r="J48" s="616"/>
      <c r="K48" s="616"/>
    </row>
  </sheetData>
  <mergeCells count="9">
    <mergeCell ref="A45:K45"/>
    <mergeCell ref="A46:K46"/>
    <mergeCell ref="A47:K47"/>
    <mergeCell ref="A48:K48"/>
    <mergeCell ref="A1:R1"/>
    <mergeCell ref="A3:R3"/>
    <mergeCell ref="A4:R4"/>
    <mergeCell ref="A6:R6"/>
    <mergeCell ref="A7:R7"/>
  </mergeCells>
  <pageMargins left="0.7" right="0.7" top="0.75" bottom="0.75" header="0.3" footer="0.3"/>
  <pageSetup paperSize="8" scale="4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H50"/>
  <sheetViews>
    <sheetView topLeftCell="I10" zoomScale="62" zoomScaleNormal="62" workbookViewId="0">
      <selection activeCell="R35" sqref="R35"/>
    </sheetView>
  </sheetViews>
  <sheetFormatPr defaultColWidth="8.85546875" defaultRowHeight="15.75" outlineLevelRow="1" x14ac:dyDescent="0.25"/>
  <cols>
    <col min="1" max="1" width="10" style="457" customWidth="1"/>
    <col min="2" max="2" width="66.28515625" style="500" customWidth="1"/>
    <col min="3" max="3" width="11.5703125" style="500" customWidth="1"/>
    <col min="4" max="4" width="14.5703125" style="500" customWidth="1"/>
    <col min="5" max="6" width="8.85546875" style="499" customWidth="1"/>
    <col min="7" max="7" width="9.85546875" style="500" customWidth="1"/>
    <col min="8" max="8" width="15.140625" style="500" customWidth="1"/>
    <col min="9" max="9" width="28.42578125" style="500" customWidth="1"/>
    <col min="10" max="10" width="25" style="501" customWidth="1"/>
    <col min="11" max="11" width="15.140625" style="500" customWidth="1"/>
    <col min="12" max="12" width="18.42578125" style="500" customWidth="1"/>
    <col min="13" max="13" width="23.140625" style="500" customWidth="1"/>
    <col min="14" max="14" width="32.5703125" style="500" customWidth="1"/>
    <col min="15" max="15" width="26.7109375" style="500" customWidth="1"/>
    <col min="16" max="16" width="27.5703125" style="500" customWidth="1"/>
    <col min="17" max="17" width="9.85546875" style="500" customWidth="1"/>
    <col min="18" max="18" width="17.7109375" style="500" customWidth="1"/>
    <col min="19" max="19" width="7.140625" style="500" customWidth="1"/>
    <col min="20" max="20" width="16" style="500" customWidth="1"/>
    <col min="21" max="22" width="9.140625" style="500" customWidth="1"/>
    <col min="23" max="23" width="9.42578125" style="500" customWidth="1"/>
    <col min="24" max="24" width="8.7109375" style="500" customWidth="1"/>
    <col min="25" max="25" width="9" style="500" customWidth="1"/>
    <col min="26" max="26" width="8.85546875" style="500" customWidth="1"/>
    <col min="27" max="27" width="10.28515625" style="500" customWidth="1"/>
    <col min="28" max="28" width="7.7109375" style="500" customWidth="1"/>
    <col min="29" max="29" width="38" style="500" customWidth="1"/>
    <col min="30" max="30" width="16.28515625" style="500" customWidth="1"/>
    <col min="31" max="31" width="14.28515625" style="500" customWidth="1"/>
    <col min="32" max="16384" width="8.85546875" style="500"/>
  </cols>
  <sheetData>
    <row r="1" spans="1:34" s="2" customFormat="1" x14ac:dyDescent="0.25">
      <c r="A1" s="683" t="s">
        <v>377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Q1" s="143"/>
      <c r="R1" s="143"/>
      <c r="S1" s="143"/>
      <c r="T1" s="144"/>
      <c r="U1" s="144"/>
      <c r="V1" s="144"/>
      <c r="W1" s="144"/>
    </row>
    <row r="2" spans="1:34" s="2" customFormat="1" x14ac:dyDescent="0.25">
      <c r="A2" s="634"/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</row>
    <row r="3" spans="1:34" s="2" customFormat="1" x14ac:dyDescent="0.25">
      <c r="A3" s="610" t="s">
        <v>378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</row>
    <row r="4" spans="1:34" s="2" customFormat="1" x14ac:dyDescent="0.25">
      <c r="A4" s="605" t="s">
        <v>2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</row>
    <row r="5" spans="1:34" s="2" customFormat="1" x14ac:dyDescent="0.25">
      <c r="A5" s="610"/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</row>
    <row r="6" spans="1:34" s="147" customFormat="1" x14ac:dyDescent="0.25">
      <c r="A6" s="648" t="s">
        <v>1373</v>
      </c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4" s="2" customFormat="1" x14ac:dyDescent="0.25">
      <c r="A7" s="684"/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</row>
    <row r="8" spans="1:34" s="2" customFormat="1" ht="81.75" customHeight="1" x14ac:dyDescent="0.25">
      <c r="A8" s="602" t="s">
        <v>3</v>
      </c>
      <c r="B8" s="602" t="s">
        <v>4</v>
      </c>
      <c r="C8" s="602" t="s">
        <v>379</v>
      </c>
      <c r="D8" s="676" t="s">
        <v>380</v>
      </c>
      <c r="E8" s="679" t="s">
        <v>381</v>
      </c>
      <c r="F8" s="679" t="s">
        <v>382</v>
      </c>
      <c r="G8" s="679" t="s">
        <v>383</v>
      </c>
      <c r="H8" s="602" t="s">
        <v>384</v>
      </c>
      <c r="I8" s="602"/>
      <c r="J8" s="602"/>
      <c r="K8" s="602"/>
      <c r="L8" s="602" t="s">
        <v>385</v>
      </c>
      <c r="M8" s="602"/>
      <c r="N8" s="675" t="s">
        <v>386</v>
      </c>
      <c r="O8" s="675" t="s">
        <v>387</v>
      </c>
      <c r="P8" s="675" t="s">
        <v>388</v>
      </c>
      <c r="Q8" s="676" t="s">
        <v>389</v>
      </c>
      <c r="R8" s="676"/>
      <c r="S8" s="676" t="s">
        <v>390</v>
      </c>
      <c r="T8" s="676" t="s">
        <v>391</v>
      </c>
      <c r="U8" s="685" t="s">
        <v>392</v>
      </c>
      <c r="V8" s="685"/>
      <c r="W8" s="685"/>
      <c r="X8" s="685"/>
      <c r="Y8" s="685"/>
      <c r="Z8" s="685"/>
      <c r="AA8" s="675" t="s">
        <v>393</v>
      </c>
      <c r="AB8" s="675"/>
      <c r="AC8" s="602" t="s">
        <v>394</v>
      </c>
      <c r="AD8" s="602" t="s">
        <v>395</v>
      </c>
      <c r="AE8" s="602"/>
    </row>
    <row r="9" spans="1:34" s="2" customFormat="1" ht="111" customHeight="1" x14ac:dyDescent="0.25">
      <c r="A9" s="602"/>
      <c r="B9" s="602"/>
      <c r="C9" s="602"/>
      <c r="D9" s="676"/>
      <c r="E9" s="680"/>
      <c r="F9" s="680"/>
      <c r="G9" s="680"/>
      <c r="H9" s="602" t="s">
        <v>396</v>
      </c>
      <c r="I9" s="602" t="s">
        <v>397</v>
      </c>
      <c r="J9" s="602" t="s">
        <v>398</v>
      </c>
      <c r="K9" s="679" t="s">
        <v>399</v>
      </c>
      <c r="L9" s="602"/>
      <c r="M9" s="602"/>
      <c r="N9" s="675"/>
      <c r="O9" s="675"/>
      <c r="P9" s="675"/>
      <c r="Q9" s="676"/>
      <c r="R9" s="676"/>
      <c r="S9" s="676"/>
      <c r="T9" s="676"/>
      <c r="U9" s="682" t="s">
        <v>400</v>
      </c>
      <c r="V9" s="682"/>
      <c r="W9" s="675" t="s">
        <v>401</v>
      </c>
      <c r="X9" s="675"/>
      <c r="Y9" s="675" t="s">
        <v>402</v>
      </c>
      <c r="Z9" s="675"/>
      <c r="AA9" s="675"/>
      <c r="AB9" s="675"/>
      <c r="AC9" s="602"/>
      <c r="AD9" s="602"/>
      <c r="AE9" s="602"/>
    </row>
    <row r="10" spans="1:34" s="2" customFormat="1" ht="47.25" x14ac:dyDescent="0.25">
      <c r="A10" s="602"/>
      <c r="B10" s="602"/>
      <c r="C10" s="602"/>
      <c r="D10" s="676"/>
      <c r="E10" s="681"/>
      <c r="F10" s="681"/>
      <c r="G10" s="681"/>
      <c r="H10" s="602"/>
      <c r="I10" s="602"/>
      <c r="J10" s="602"/>
      <c r="K10" s="681"/>
      <c r="L10" s="511" t="s">
        <v>403</v>
      </c>
      <c r="M10" s="509" t="s">
        <v>404</v>
      </c>
      <c r="N10" s="675"/>
      <c r="O10" s="675"/>
      <c r="P10" s="675"/>
      <c r="Q10" s="512" t="s">
        <v>187</v>
      </c>
      <c r="R10" s="512" t="s">
        <v>405</v>
      </c>
      <c r="S10" s="676"/>
      <c r="T10" s="676"/>
      <c r="U10" s="148" t="s">
        <v>406</v>
      </c>
      <c r="V10" s="148" t="s">
        <v>407</v>
      </c>
      <c r="W10" s="148" t="s">
        <v>406</v>
      </c>
      <c r="X10" s="148" t="s">
        <v>407</v>
      </c>
      <c r="Y10" s="511" t="s">
        <v>406</v>
      </c>
      <c r="Z10" s="513" t="s">
        <v>407</v>
      </c>
      <c r="AA10" s="511" t="s">
        <v>406</v>
      </c>
      <c r="AB10" s="513" t="s">
        <v>407</v>
      </c>
      <c r="AC10" s="602"/>
      <c r="AD10" s="149" t="s">
        <v>408</v>
      </c>
      <c r="AE10" s="509" t="s">
        <v>409</v>
      </c>
    </row>
    <row r="11" spans="1:34" s="150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  <c r="AB11" s="7">
        <v>28</v>
      </c>
      <c r="AC11" s="7">
        <v>29</v>
      </c>
      <c r="AD11" s="7">
        <v>30</v>
      </c>
      <c r="AE11" s="7">
        <v>31</v>
      </c>
    </row>
    <row r="12" spans="1:34" s="485" customFormat="1" x14ac:dyDescent="0.25">
      <c r="A12" s="118" t="s">
        <v>31</v>
      </c>
      <c r="B12" s="38" t="s">
        <v>32</v>
      </c>
      <c r="C12" s="435" t="s">
        <v>33</v>
      </c>
      <c r="D12" s="435" t="s">
        <v>33</v>
      </c>
      <c r="E12" s="435" t="s">
        <v>33</v>
      </c>
      <c r="F12" s="435" t="s">
        <v>33</v>
      </c>
      <c r="G12" s="435" t="s">
        <v>33</v>
      </c>
      <c r="H12" s="435" t="s">
        <v>33</v>
      </c>
      <c r="I12" s="435" t="s">
        <v>33</v>
      </c>
      <c r="J12" s="435" t="s">
        <v>33</v>
      </c>
      <c r="K12" s="435" t="s">
        <v>33</v>
      </c>
      <c r="L12" s="435" t="s">
        <v>33</v>
      </c>
      <c r="M12" s="435" t="s">
        <v>33</v>
      </c>
      <c r="N12" s="435" t="s">
        <v>33</v>
      </c>
      <c r="O12" s="435" t="s">
        <v>33</v>
      </c>
      <c r="P12" s="435" t="s">
        <v>33</v>
      </c>
      <c r="Q12" s="435" t="s">
        <v>33</v>
      </c>
      <c r="R12" s="435" t="s">
        <v>33</v>
      </c>
      <c r="S12" s="435" t="s">
        <v>33</v>
      </c>
      <c r="T12" s="435" t="s">
        <v>33</v>
      </c>
      <c r="U12" s="435">
        <f>U13</f>
        <v>6.3E-2</v>
      </c>
      <c r="V12" s="435">
        <f>V13</f>
        <v>0.91</v>
      </c>
      <c r="W12" s="435" t="s">
        <v>33</v>
      </c>
      <c r="X12" s="435" t="s">
        <v>33</v>
      </c>
      <c r="Y12" s="435" t="s">
        <v>33</v>
      </c>
      <c r="Z12" s="435" t="s">
        <v>33</v>
      </c>
      <c r="AA12" s="435" t="s">
        <v>33</v>
      </c>
      <c r="AB12" s="435" t="s">
        <v>33</v>
      </c>
      <c r="AC12" s="435" t="s">
        <v>33</v>
      </c>
      <c r="AD12" s="435" t="s">
        <v>33</v>
      </c>
      <c r="AE12" s="435" t="s">
        <v>33</v>
      </c>
    </row>
    <row r="13" spans="1:34" s="488" customFormat="1" x14ac:dyDescent="0.25">
      <c r="A13" s="121" t="s">
        <v>55</v>
      </c>
      <c r="B13" s="9" t="s">
        <v>34</v>
      </c>
      <c r="C13" s="438" t="s">
        <v>33</v>
      </c>
      <c r="D13" s="438" t="s">
        <v>33</v>
      </c>
      <c r="E13" s="438" t="s">
        <v>33</v>
      </c>
      <c r="F13" s="438" t="s">
        <v>33</v>
      </c>
      <c r="G13" s="438" t="s">
        <v>33</v>
      </c>
      <c r="H13" s="438" t="s">
        <v>33</v>
      </c>
      <c r="I13" s="438" t="s">
        <v>33</v>
      </c>
      <c r="J13" s="438" t="s">
        <v>33</v>
      </c>
      <c r="K13" s="438" t="s">
        <v>33</v>
      </c>
      <c r="L13" s="438" t="s">
        <v>33</v>
      </c>
      <c r="M13" s="438" t="s">
        <v>33</v>
      </c>
      <c r="N13" s="438" t="s">
        <v>33</v>
      </c>
      <c r="O13" s="438" t="s">
        <v>33</v>
      </c>
      <c r="P13" s="438" t="s">
        <v>33</v>
      </c>
      <c r="Q13" s="438" t="s">
        <v>33</v>
      </c>
      <c r="R13" s="438" t="s">
        <v>33</v>
      </c>
      <c r="S13" s="438" t="s">
        <v>33</v>
      </c>
      <c r="T13" s="438" t="s">
        <v>33</v>
      </c>
      <c r="U13" s="438">
        <f>U14</f>
        <v>6.3E-2</v>
      </c>
      <c r="V13" s="438">
        <f>V14</f>
        <v>0.91</v>
      </c>
      <c r="W13" s="438" t="s">
        <v>33</v>
      </c>
      <c r="X13" s="438" t="s">
        <v>33</v>
      </c>
      <c r="Y13" s="438" t="s">
        <v>33</v>
      </c>
      <c r="Z13" s="438" t="s">
        <v>33</v>
      </c>
      <c r="AA13" s="438" t="s">
        <v>33</v>
      </c>
      <c r="AB13" s="438" t="s">
        <v>33</v>
      </c>
      <c r="AC13" s="438" t="s">
        <v>33</v>
      </c>
      <c r="AD13" s="438" t="s">
        <v>33</v>
      </c>
      <c r="AE13" s="438" t="s">
        <v>33</v>
      </c>
    </row>
    <row r="14" spans="1:34" s="485" customFormat="1" ht="31.5" x14ac:dyDescent="0.25">
      <c r="A14" s="118" t="s">
        <v>36</v>
      </c>
      <c r="B14" s="38" t="s">
        <v>37</v>
      </c>
      <c r="C14" s="435" t="s">
        <v>33</v>
      </c>
      <c r="D14" s="435" t="s">
        <v>33</v>
      </c>
      <c r="E14" s="435" t="s">
        <v>33</v>
      </c>
      <c r="F14" s="435" t="s">
        <v>33</v>
      </c>
      <c r="G14" s="435" t="s">
        <v>33</v>
      </c>
      <c r="H14" s="435" t="s">
        <v>33</v>
      </c>
      <c r="I14" s="435" t="s">
        <v>33</v>
      </c>
      <c r="J14" s="435" t="s">
        <v>33</v>
      </c>
      <c r="K14" s="435" t="s">
        <v>33</v>
      </c>
      <c r="L14" s="435" t="s">
        <v>33</v>
      </c>
      <c r="M14" s="435" t="s">
        <v>33</v>
      </c>
      <c r="N14" s="435" t="s">
        <v>33</v>
      </c>
      <c r="O14" s="435" t="s">
        <v>33</v>
      </c>
      <c r="P14" s="435" t="s">
        <v>33</v>
      </c>
      <c r="Q14" s="435" t="s">
        <v>33</v>
      </c>
      <c r="R14" s="435" t="s">
        <v>33</v>
      </c>
      <c r="S14" s="435" t="s">
        <v>33</v>
      </c>
      <c r="T14" s="435" t="s">
        <v>33</v>
      </c>
      <c r="U14" s="435">
        <f>U15</f>
        <v>6.3E-2</v>
      </c>
      <c r="V14" s="435">
        <f>V15+V20</f>
        <v>0.91</v>
      </c>
      <c r="W14" s="435" t="s">
        <v>33</v>
      </c>
      <c r="X14" s="435" t="s">
        <v>33</v>
      </c>
      <c r="Y14" s="435" t="s">
        <v>33</v>
      </c>
      <c r="Z14" s="435" t="s">
        <v>33</v>
      </c>
      <c r="AA14" s="435" t="s">
        <v>33</v>
      </c>
      <c r="AB14" s="435" t="s">
        <v>33</v>
      </c>
      <c r="AC14" s="435" t="s">
        <v>33</v>
      </c>
      <c r="AD14" s="435" t="s">
        <v>33</v>
      </c>
      <c r="AE14" s="435" t="s">
        <v>33</v>
      </c>
    </row>
    <row r="15" spans="1:34" s="490" customFormat="1" ht="47.25" x14ac:dyDescent="0.25">
      <c r="A15" s="124" t="s">
        <v>53</v>
      </c>
      <c r="B15" s="39" t="s">
        <v>54</v>
      </c>
      <c r="C15" s="442" t="str">
        <f>C16</f>
        <v>нд</v>
      </c>
      <c r="D15" s="442" t="str">
        <f t="shared" ref="D15" si="0">D16</f>
        <v>нд</v>
      </c>
      <c r="E15" s="442" t="str">
        <f t="shared" ref="E15" si="1">E16</f>
        <v>нд</v>
      </c>
      <c r="F15" s="442" t="str">
        <f t="shared" ref="F15" si="2">F16</f>
        <v>нд</v>
      </c>
      <c r="G15" s="442" t="str">
        <f t="shared" ref="G15" si="3">G16</f>
        <v>нд</v>
      </c>
      <c r="H15" s="442" t="str">
        <f t="shared" ref="H15" si="4">H16</f>
        <v>нд</v>
      </c>
      <c r="I15" s="442" t="str">
        <f t="shared" ref="I15" si="5">I16</f>
        <v>нд</v>
      </c>
      <c r="J15" s="442" t="str">
        <f t="shared" ref="J15" si="6">J16</f>
        <v>нд</v>
      </c>
      <c r="K15" s="442" t="str">
        <f t="shared" ref="K15" si="7">K16</f>
        <v>нд</v>
      </c>
      <c r="L15" s="442" t="str">
        <f t="shared" ref="L15" si="8">L16</f>
        <v>нд</v>
      </c>
      <c r="M15" s="442" t="str">
        <f t="shared" ref="M15" si="9">M16</f>
        <v>нд</v>
      </c>
      <c r="N15" s="442" t="str">
        <f t="shared" ref="N15" si="10">N16</f>
        <v>нд</v>
      </c>
      <c r="O15" s="442" t="str">
        <f t="shared" ref="O15" si="11">O16</f>
        <v>нд</v>
      </c>
      <c r="P15" s="442" t="str">
        <f t="shared" ref="P15:R15" si="12">P16</f>
        <v>нд</v>
      </c>
      <c r="Q15" s="442" t="str">
        <f t="shared" si="12"/>
        <v>нд</v>
      </c>
      <c r="R15" s="442" t="str">
        <f t="shared" si="12"/>
        <v>нд</v>
      </c>
      <c r="S15" s="442" t="str">
        <f t="shared" ref="S15" si="13">S16</f>
        <v>нд</v>
      </c>
      <c r="T15" s="442" t="str">
        <f t="shared" ref="T15" si="14">T16</f>
        <v>нд</v>
      </c>
      <c r="U15" s="442">
        <f t="shared" ref="U15:V15" si="15">U16</f>
        <v>6.3E-2</v>
      </c>
      <c r="V15" s="442">
        <f t="shared" si="15"/>
        <v>0.5</v>
      </c>
      <c r="W15" s="442" t="str">
        <f t="shared" ref="W15" si="16">W16</f>
        <v>нд</v>
      </c>
      <c r="X15" s="442" t="str">
        <f t="shared" ref="X15" si="17">X16</f>
        <v>нд</v>
      </c>
      <c r="Y15" s="442" t="str">
        <f t="shared" ref="Y15" si="18">Y16</f>
        <v>нд</v>
      </c>
      <c r="Z15" s="442" t="str">
        <f t="shared" ref="Z15" si="19">Z16</f>
        <v>нд</v>
      </c>
      <c r="AA15" s="442" t="s">
        <v>33</v>
      </c>
      <c r="AB15" s="442" t="s">
        <v>33</v>
      </c>
      <c r="AC15" s="442" t="str">
        <f t="shared" ref="AC15" si="20">AC16</f>
        <v>нд</v>
      </c>
      <c r="AD15" s="442" t="str">
        <f t="shared" ref="AD15" si="21">AD16</f>
        <v>нд</v>
      </c>
      <c r="AE15" s="442" t="str">
        <f t="shared" ref="AE15" si="22">AE16</f>
        <v>нд</v>
      </c>
    </row>
    <row r="16" spans="1:34" s="491" customFormat="1" ht="33.75" customHeight="1" x14ac:dyDescent="0.25">
      <c r="A16" s="127" t="s">
        <v>38</v>
      </c>
      <c r="B16" s="10" t="s">
        <v>39</v>
      </c>
      <c r="C16" s="444" t="s">
        <v>33</v>
      </c>
      <c r="D16" s="444" t="s">
        <v>33</v>
      </c>
      <c r="E16" s="444" t="s">
        <v>33</v>
      </c>
      <c r="F16" s="444" t="s">
        <v>33</v>
      </c>
      <c r="G16" s="444" t="s">
        <v>33</v>
      </c>
      <c r="H16" s="444" t="s">
        <v>33</v>
      </c>
      <c r="I16" s="444" t="s">
        <v>33</v>
      </c>
      <c r="J16" s="444" t="s">
        <v>33</v>
      </c>
      <c r="K16" s="444" t="s">
        <v>33</v>
      </c>
      <c r="L16" s="444" t="s">
        <v>33</v>
      </c>
      <c r="M16" s="444" t="s">
        <v>33</v>
      </c>
      <c r="N16" s="444" t="s">
        <v>33</v>
      </c>
      <c r="O16" s="444" t="s">
        <v>33</v>
      </c>
      <c r="P16" s="444" t="s">
        <v>33</v>
      </c>
      <c r="Q16" s="444" t="s">
        <v>33</v>
      </c>
      <c r="R16" s="444" t="s">
        <v>33</v>
      </c>
      <c r="S16" s="444" t="s">
        <v>33</v>
      </c>
      <c r="T16" s="444" t="s">
        <v>33</v>
      </c>
      <c r="U16" s="444">
        <f>SUM(U17:U19)</f>
        <v>6.3E-2</v>
      </c>
      <c r="V16" s="444">
        <f>SUM(V17:V19)</f>
        <v>0.5</v>
      </c>
      <c r="W16" s="444" t="s">
        <v>33</v>
      </c>
      <c r="X16" s="444" t="s">
        <v>33</v>
      </c>
      <c r="Y16" s="444" t="s">
        <v>33</v>
      </c>
      <c r="Z16" s="444" t="s">
        <v>33</v>
      </c>
      <c r="AA16" s="444" t="s">
        <v>33</v>
      </c>
      <c r="AB16" s="444" t="s">
        <v>33</v>
      </c>
      <c r="AC16" s="444" t="s">
        <v>33</v>
      </c>
      <c r="AD16" s="444" t="s">
        <v>33</v>
      </c>
      <c r="AE16" s="444" t="s">
        <v>33</v>
      </c>
    </row>
    <row r="17" spans="1:31" s="492" customFormat="1" ht="31.5" customHeight="1" x14ac:dyDescent="0.25">
      <c r="A17" s="13" t="s">
        <v>40</v>
      </c>
      <c r="B17" s="375" t="s">
        <v>1330</v>
      </c>
      <c r="C17" s="410" t="s">
        <v>1348</v>
      </c>
      <c r="D17" s="444" t="s">
        <v>33</v>
      </c>
      <c r="E17" s="444" t="s">
        <v>33</v>
      </c>
      <c r="F17" s="444" t="s">
        <v>33</v>
      </c>
      <c r="G17" s="444" t="s">
        <v>33</v>
      </c>
      <c r="H17" s="444" t="s">
        <v>33</v>
      </c>
      <c r="I17" s="444" t="s">
        <v>33</v>
      </c>
      <c r="J17" s="444" t="s">
        <v>33</v>
      </c>
      <c r="K17" s="444" t="s">
        <v>33</v>
      </c>
      <c r="L17" s="444" t="s">
        <v>33</v>
      </c>
      <c r="M17" s="444" t="s">
        <v>33</v>
      </c>
      <c r="N17" s="444" t="s">
        <v>33</v>
      </c>
      <c r="O17" s="444" t="s">
        <v>33</v>
      </c>
      <c r="P17" s="444" t="s">
        <v>1309</v>
      </c>
      <c r="Q17" s="444" t="s">
        <v>33</v>
      </c>
      <c r="R17" s="444" t="s">
        <v>33</v>
      </c>
      <c r="S17" s="444" t="s">
        <v>33</v>
      </c>
      <c r="T17" s="444" t="s">
        <v>33</v>
      </c>
      <c r="U17" s="444" t="s">
        <v>33</v>
      </c>
      <c r="V17" s="444" t="s">
        <v>33</v>
      </c>
      <c r="W17" s="444" t="s">
        <v>33</v>
      </c>
      <c r="X17" s="444" t="s">
        <v>33</v>
      </c>
      <c r="Y17" s="444" t="s">
        <v>33</v>
      </c>
      <c r="Z17" s="444" t="s">
        <v>33</v>
      </c>
      <c r="AA17" s="444" t="s">
        <v>33</v>
      </c>
      <c r="AB17" s="444" t="s">
        <v>33</v>
      </c>
      <c r="AC17" s="677" t="str">
        <f>Лист1!D8</f>
        <v>повышение качества оказываемых услуг в сфере электроэнергетики</v>
      </c>
      <c r="AD17" s="677" t="s">
        <v>33</v>
      </c>
      <c r="AE17" s="677" t="s">
        <v>411</v>
      </c>
    </row>
    <row r="18" spans="1:31" s="492" customFormat="1" ht="31.5" customHeight="1" x14ac:dyDescent="0.25">
      <c r="A18" s="13" t="s">
        <v>465</v>
      </c>
      <c r="B18" s="237" t="s">
        <v>648</v>
      </c>
      <c r="C18" s="410" t="s">
        <v>637</v>
      </c>
      <c r="D18" s="444" t="s">
        <v>33</v>
      </c>
      <c r="E18" s="444" t="s">
        <v>33</v>
      </c>
      <c r="F18" s="444" t="s">
        <v>33</v>
      </c>
      <c r="G18" s="444" t="s">
        <v>33</v>
      </c>
      <c r="H18" s="444" t="s">
        <v>33</v>
      </c>
      <c r="I18" s="444" t="s">
        <v>33</v>
      </c>
      <c r="J18" s="444" t="s">
        <v>33</v>
      </c>
      <c r="K18" s="444" t="s">
        <v>33</v>
      </c>
      <c r="L18" s="444" t="s">
        <v>33</v>
      </c>
      <c r="M18" s="444" t="s">
        <v>33</v>
      </c>
      <c r="N18" s="444" t="s">
        <v>33</v>
      </c>
      <c r="O18" s="444" t="s">
        <v>33</v>
      </c>
      <c r="P18" s="444" t="s">
        <v>1378</v>
      </c>
      <c r="Q18" s="444" t="s">
        <v>33</v>
      </c>
      <c r="R18" s="444" t="s">
        <v>33</v>
      </c>
      <c r="S18" s="444" t="s">
        <v>33</v>
      </c>
      <c r="T18" s="444" t="s">
        <v>33</v>
      </c>
      <c r="U18" s="444">
        <v>6.3E-2</v>
      </c>
      <c r="V18" s="444">
        <v>0.5</v>
      </c>
      <c r="W18" s="444" t="s">
        <v>33</v>
      </c>
      <c r="X18" s="444" t="s">
        <v>33</v>
      </c>
      <c r="Y18" s="444" t="s">
        <v>33</v>
      </c>
      <c r="Z18" s="444" t="s">
        <v>33</v>
      </c>
      <c r="AA18" s="444" t="s">
        <v>33</v>
      </c>
      <c r="AB18" s="444" t="s">
        <v>33</v>
      </c>
      <c r="AC18" s="689"/>
      <c r="AD18" s="678"/>
      <c r="AE18" s="678"/>
    </row>
    <row r="19" spans="1:31" s="492" customFormat="1" ht="33" customHeight="1" x14ac:dyDescent="0.25">
      <c r="A19" s="13" t="s">
        <v>615</v>
      </c>
      <c r="B19" s="237" t="s">
        <v>649</v>
      </c>
      <c r="C19" s="410" t="s">
        <v>638</v>
      </c>
      <c r="D19" s="444" t="s">
        <v>33</v>
      </c>
      <c r="E19" s="444" t="s">
        <v>33</v>
      </c>
      <c r="F19" s="444" t="s">
        <v>33</v>
      </c>
      <c r="G19" s="444" t="s">
        <v>33</v>
      </c>
      <c r="H19" s="444" t="s">
        <v>33</v>
      </c>
      <c r="I19" s="444" t="s">
        <v>33</v>
      </c>
      <c r="J19" s="444" t="s">
        <v>33</v>
      </c>
      <c r="K19" s="444" t="s">
        <v>33</v>
      </c>
      <c r="L19" s="444" t="s">
        <v>33</v>
      </c>
      <c r="M19" s="444" t="s">
        <v>33</v>
      </c>
      <c r="N19" s="444" t="s">
        <v>33</v>
      </c>
      <c r="O19" s="444" t="s">
        <v>33</v>
      </c>
      <c r="P19" s="444" t="s">
        <v>1379</v>
      </c>
      <c r="Q19" s="444" t="s">
        <v>33</v>
      </c>
      <c r="R19" s="444" t="s">
        <v>33</v>
      </c>
      <c r="S19" s="444" t="s">
        <v>33</v>
      </c>
      <c r="T19" s="444" t="s">
        <v>33</v>
      </c>
      <c r="U19" s="444" t="s">
        <v>33</v>
      </c>
      <c r="V19" s="444" t="s">
        <v>33</v>
      </c>
      <c r="W19" s="444" t="s">
        <v>33</v>
      </c>
      <c r="X19" s="444" t="s">
        <v>33</v>
      </c>
      <c r="Y19" s="444" t="s">
        <v>33</v>
      </c>
      <c r="Z19" s="444" t="s">
        <v>33</v>
      </c>
      <c r="AA19" s="444" t="s">
        <v>33</v>
      </c>
      <c r="AB19" s="444" t="s">
        <v>33</v>
      </c>
      <c r="AC19" s="678"/>
      <c r="AD19" s="444" t="s">
        <v>33</v>
      </c>
      <c r="AE19" s="444" t="s">
        <v>33</v>
      </c>
    </row>
    <row r="20" spans="1:31" s="490" customFormat="1" ht="31.5" x14ac:dyDescent="0.25">
      <c r="A20" s="124" t="s">
        <v>41</v>
      </c>
      <c r="B20" s="39" t="s">
        <v>42</v>
      </c>
      <c r="C20" s="442" t="str">
        <f>C21</f>
        <v>нд</v>
      </c>
      <c r="D20" s="442" t="str">
        <f>D21</f>
        <v>нд</v>
      </c>
      <c r="E20" s="442" t="str">
        <f t="shared" ref="E20:R20" si="23">E21</f>
        <v>нд</v>
      </c>
      <c r="F20" s="442" t="str">
        <f t="shared" si="23"/>
        <v>нд</v>
      </c>
      <c r="G20" s="442" t="str">
        <f t="shared" si="23"/>
        <v>нд</v>
      </c>
      <c r="H20" s="442" t="str">
        <f t="shared" si="23"/>
        <v>нд</v>
      </c>
      <c r="I20" s="442" t="str">
        <f t="shared" si="23"/>
        <v>нд</v>
      </c>
      <c r="J20" s="442" t="str">
        <f t="shared" si="23"/>
        <v>нд</v>
      </c>
      <c r="K20" s="442" t="str">
        <f t="shared" si="23"/>
        <v>нд</v>
      </c>
      <c r="L20" s="442" t="str">
        <f t="shared" si="23"/>
        <v>нд</v>
      </c>
      <c r="M20" s="442" t="str">
        <f t="shared" si="23"/>
        <v>нд</v>
      </c>
      <c r="N20" s="442" t="str">
        <f t="shared" si="23"/>
        <v>нд</v>
      </c>
      <c r="O20" s="442" t="str">
        <f t="shared" si="23"/>
        <v>нд</v>
      </c>
      <c r="P20" s="442" t="str">
        <f t="shared" si="23"/>
        <v>нд</v>
      </c>
      <c r="Q20" s="442" t="str">
        <f t="shared" si="23"/>
        <v>нд</v>
      </c>
      <c r="R20" s="442" t="str">
        <f t="shared" si="23"/>
        <v>нд</v>
      </c>
      <c r="S20" s="442" t="str">
        <f t="shared" ref="S20" si="24">S21</f>
        <v>нд</v>
      </c>
      <c r="T20" s="442" t="str">
        <f t="shared" ref="T20:U20" si="25">T21</f>
        <v>нд</v>
      </c>
      <c r="U20" s="442" t="str">
        <f t="shared" si="25"/>
        <v>нд</v>
      </c>
      <c r="V20" s="442">
        <f t="shared" ref="V20" si="26">V21</f>
        <v>0.41000000000000003</v>
      </c>
      <c r="W20" s="442" t="str">
        <f t="shared" ref="W20" si="27">W21</f>
        <v>нд</v>
      </c>
      <c r="X20" s="442" t="str">
        <f t="shared" ref="X20" si="28">X21</f>
        <v>нд</v>
      </c>
      <c r="Y20" s="442" t="str">
        <f t="shared" ref="Y20" si="29">Y21</f>
        <v>нд</v>
      </c>
      <c r="Z20" s="442" t="str">
        <f t="shared" ref="Z20" si="30">Z21</f>
        <v>нд</v>
      </c>
      <c r="AA20" s="442" t="str">
        <f t="shared" ref="AA20" si="31">AA21</f>
        <v>нд</v>
      </c>
      <c r="AB20" s="442" t="str">
        <f t="shared" ref="AB20" si="32">AB21</f>
        <v>нд</v>
      </c>
      <c r="AC20" s="442" t="str">
        <f t="shared" ref="AC20" si="33">AC21</f>
        <v>нд</v>
      </c>
      <c r="AD20" s="442" t="str">
        <f t="shared" ref="AD20" si="34">AD21</f>
        <v>нд</v>
      </c>
      <c r="AE20" s="442" t="str">
        <f t="shared" ref="AE20" si="35">AE21</f>
        <v>+</v>
      </c>
    </row>
    <row r="21" spans="1:31" s="491" customFormat="1" ht="21.75" customHeight="1" x14ac:dyDescent="0.25">
      <c r="A21" s="127" t="s">
        <v>49</v>
      </c>
      <c r="B21" s="10" t="s">
        <v>50</v>
      </c>
      <c r="C21" s="444" t="s">
        <v>33</v>
      </c>
      <c r="D21" s="444" t="s">
        <v>33</v>
      </c>
      <c r="E21" s="444" t="s">
        <v>33</v>
      </c>
      <c r="F21" s="444" t="s">
        <v>33</v>
      </c>
      <c r="G21" s="444" t="s">
        <v>33</v>
      </c>
      <c r="H21" s="444" t="s">
        <v>33</v>
      </c>
      <c r="I21" s="444" t="s">
        <v>33</v>
      </c>
      <c r="J21" s="444" t="s">
        <v>33</v>
      </c>
      <c r="K21" s="444" t="s">
        <v>33</v>
      </c>
      <c r="L21" s="444" t="s">
        <v>33</v>
      </c>
      <c r="M21" s="444" t="s">
        <v>33</v>
      </c>
      <c r="N21" s="444" t="s">
        <v>33</v>
      </c>
      <c r="O21" s="444" t="s">
        <v>33</v>
      </c>
      <c r="P21" s="444" t="s">
        <v>33</v>
      </c>
      <c r="Q21" s="444" t="s">
        <v>33</v>
      </c>
      <c r="R21" s="444" t="s">
        <v>33</v>
      </c>
      <c r="S21" s="444" t="s">
        <v>33</v>
      </c>
      <c r="T21" s="444" t="s">
        <v>33</v>
      </c>
      <c r="U21" s="444" t="s">
        <v>33</v>
      </c>
      <c r="V21" s="444">
        <f>SUM(V22:V26)</f>
        <v>0.41000000000000003</v>
      </c>
      <c r="W21" s="444" t="s">
        <v>33</v>
      </c>
      <c r="X21" s="444" t="s">
        <v>33</v>
      </c>
      <c r="Y21" s="444" t="s">
        <v>33</v>
      </c>
      <c r="Z21" s="444" t="s">
        <v>33</v>
      </c>
      <c r="AA21" s="444" t="s">
        <v>33</v>
      </c>
      <c r="AB21" s="444" t="s">
        <v>33</v>
      </c>
      <c r="AC21" s="444" t="s">
        <v>33</v>
      </c>
      <c r="AD21" s="444" t="s">
        <v>33</v>
      </c>
      <c r="AE21" s="444" t="str">
        <f>AE26</f>
        <v>+</v>
      </c>
    </row>
    <row r="22" spans="1:31" s="491" customFormat="1" ht="48" customHeight="1" x14ac:dyDescent="0.25">
      <c r="A22" s="13" t="s">
        <v>51</v>
      </c>
      <c r="B22" s="236" t="s">
        <v>650</v>
      </c>
      <c r="C22" s="410" t="s">
        <v>1329</v>
      </c>
      <c r="D22" s="444" t="s">
        <v>33</v>
      </c>
      <c r="E22" s="444" t="s">
        <v>33</v>
      </c>
      <c r="F22" s="444" t="s">
        <v>33</v>
      </c>
      <c r="G22" s="444" t="s">
        <v>33</v>
      </c>
      <c r="H22" s="444" t="s">
        <v>33</v>
      </c>
      <c r="I22" s="444" t="s">
        <v>33</v>
      </c>
      <c r="J22" s="444" t="s">
        <v>33</v>
      </c>
      <c r="K22" s="444" t="s">
        <v>33</v>
      </c>
      <c r="L22" s="444" t="s">
        <v>33</v>
      </c>
      <c r="M22" s="444" t="s">
        <v>33</v>
      </c>
      <c r="N22" s="444" t="s">
        <v>33</v>
      </c>
      <c r="O22" s="444" t="s">
        <v>33</v>
      </c>
      <c r="P22" s="444" t="s">
        <v>1380</v>
      </c>
      <c r="Q22" s="444" t="s">
        <v>33</v>
      </c>
      <c r="R22" s="444" t="s">
        <v>33</v>
      </c>
      <c r="S22" s="444" t="s">
        <v>33</v>
      </c>
      <c r="T22" s="444" t="s">
        <v>33</v>
      </c>
      <c r="U22" s="444" t="s">
        <v>33</v>
      </c>
      <c r="V22" s="444">
        <v>0.25</v>
      </c>
      <c r="W22" s="444" t="s">
        <v>33</v>
      </c>
      <c r="X22" s="444" t="s">
        <v>33</v>
      </c>
      <c r="Y22" s="444" t="s">
        <v>33</v>
      </c>
      <c r="Z22" s="444" t="s">
        <v>33</v>
      </c>
      <c r="AA22" s="444" t="s">
        <v>33</v>
      </c>
      <c r="AB22" s="444" t="s">
        <v>33</v>
      </c>
      <c r="AC22" s="677" t="str">
        <f>Лист1!D8</f>
        <v>повышение качества оказываемых услуг в сфере электроэнергетики</v>
      </c>
      <c r="AD22" s="444" t="s">
        <v>33</v>
      </c>
      <c r="AE22" s="451" t="s">
        <v>411</v>
      </c>
    </row>
    <row r="23" spans="1:31" s="492" customFormat="1" ht="34.5" customHeight="1" x14ac:dyDescent="0.25">
      <c r="A23" s="13" t="s">
        <v>578</v>
      </c>
      <c r="B23" s="236" t="s">
        <v>651</v>
      </c>
      <c r="C23" s="410" t="s">
        <v>1349</v>
      </c>
      <c r="D23" s="444" t="s">
        <v>33</v>
      </c>
      <c r="E23" s="444" t="s">
        <v>33</v>
      </c>
      <c r="F23" s="444" t="s">
        <v>33</v>
      </c>
      <c r="G23" s="444" t="s">
        <v>33</v>
      </c>
      <c r="H23" s="444" t="s">
        <v>33</v>
      </c>
      <c r="I23" s="444" t="s">
        <v>33</v>
      </c>
      <c r="J23" s="444" t="s">
        <v>33</v>
      </c>
      <c r="K23" s="444" t="s">
        <v>33</v>
      </c>
      <c r="L23" s="444" t="s">
        <v>33</v>
      </c>
      <c r="M23" s="444" t="s">
        <v>33</v>
      </c>
      <c r="N23" s="444" t="s">
        <v>33</v>
      </c>
      <c r="O23" s="444" t="s">
        <v>33</v>
      </c>
      <c r="P23" s="444" t="s">
        <v>1374</v>
      </c>
      <c r="Q23" s="444" t="s">
        <v>33</v>
      </c>
      <c r="R23" s="444" t="s">
        <v>33</v>
      </c>
      <c r="S23" s="444" t="s">
        <v>33</v>
      </c>
      <c r="T23" s="444" t="s">
        <v>33</v>
      </c>
      <c r="U23" s="444" t="s">
        <v>33</v>
      </c>
      <c r="V23" s="444" t="s">
        <v>33</v>
      </c>
      <c r="W23" s="444" t="s">
        <v>33</v>
      </c>
      <c r="X23" s="444" t="s">
        <v>33</v>
      </c>
      <c r="Y23" s="444" t="s">
        <v>33</v>
      </c>
      <c r="Z23" s="444" t="s">
        <v>33</v>
      </c>
      <c r="AA23" s="444" t="s">
        <v>33</v>
      </c>
      <c r="AB23" s="444" t="s">
        <v>33</v>
      </c>
      <c r="AC23" s="689"/>
      <c r="AD23" s="444" t="s">
        <v>33</v>
      </c>
      <c r="AE23" s="451" t="s">
        <v>411</v>
      </c>
    </row>
    <row r="24" spans="1:31" s="492" customFormat="1" ht="36" customHeight="1" x14ac:dyDescent="0.25">
      <c r="A24" s="13" t="s">
        <v>580</v>
      </c>
      <c r="B24" s="236" t="s">
        <v>652</v>
      </c>
      <c r="C24" s="410" t="s">
        <v>1350</v>
      </c>
      <c r="D24" s="444" t="s">
        <v>33</v>
      </c>
      <c r="E24" s="444" t="s">
        <v>33</v>
      </c>
      <c r="F24" s="444" t="s">
        <v>33</v>
      </c>
      <c r="G24" s="444" t="s">
        <v>33</v>
      </c>
      <c r="H24" s="444" t="s">
        <v>33</v>
      </c>
      <c r="I24" s="444" t="s">
        <v>33</v>
      </c>
      <c r="J24" s="444" t="s">
        <v>33</v>
      </c>
      <c r="K24" s="444" t="s">
        <v>33</v>
      </c>
      <c r="L24" s="444" t="s">
        <v>33</v>
      </c>
      <c r="M24" s="444" t="s">
        <v>33</v>
      </c>
      <c r="N24" s="444" t="s">
        <v>33</v>
      </c>
      <c r="O24" s="444" t="s">
        <v>33</v>
      </c>
      <c r="P24" s="444" t="s">
        <v>1310</v>
      </c>
      <c r="Q24" s="444" t="s">
        <v>33</v>
      </c>
      <c r="R24" s="444" t="s">
        <v>33</v>
      </c>
      <c r="S24" s="444" t="s">
        <v>33</v>
      </c>
      <c r="T24" s="444" t="s">
        <v>33</v>
      </c>
      <c r="U24" s="444" t="s">
        <v>33</v>
      </c>
      <c r="V24" s="444" t="s">
        <v>33</v>
      </c>
      <c r="W24" s="444" t="s">
        <v>33</v>
      </c>
      <c r="X24" s="444" t="s">
        <v>33</v>
      </c>
      <c r="Y24" s="444" t="s">
        <v>33</v>
      </c>
      <c r="Z24" s="444" t="s">
        <v>33</v>
      </c>
      <c r="AA24" s="444" t="s">
        <v>33</v>
      </c>
      <c r="AB24" s="444" t="s">
        <v>33</v>
      </c>
      <c r="AC24" s="689"/>
      <c r="AD24" s="444" t="s">
        <v>33</v>
      </c>
      <c r="AE24" s="451" t="s">
        <v>411</v>
      </c>
    </row>
    <row r="25" spans="1:31" s="492" customFormat="1" ht="36" customHeight="1" x14ac:dyDescent="0.25">
      <c r="A25" s="13" t="s">
        <v>581</v>
      </c>
      <c r="B25" s="236" t="s">
        <v>1340</v>
      </c>
      <c r="C25" s="410" t="s">
        <v>1351</v>
      </c>
      <c r="D25" s="444" t="s">
        <v>33</v>
      </c>
      <c r="E25" s="444" t="s">
        <v>33</v>
      </c>
      <c r="F25" s="444" t="s">
        <v>33</v>
      </c>
      <c r="G25" s="444" t="s">
        <v>33</v>
      </c>
      <c r="H25" s="444" t="s">
        <v>33</v>
      </c>
      <c r="I25" s="444" t="s">
        <v>33</v>
      </c>
      <c r="J25" s="444" t="s">
        <v>33</v>
      </c>
      <c r="K25" s="444" t="s">
        <v>33</v>
      </c>
      <c r="L25" s="444" t="s">
        <v>33</v>
      </c>
      <c r="M25" s="444" t="s">
        <v>33</v>
      </c>
      <c r="N25" s="444" t="s">
        <v>33</v>
      </c>
      <c r="O25" s="444" t="s">
        <v>33</v>
      </c>
      <c r="P25" s="444" t="s">
        <v>1381</v>
      </c>
      <c r="Q25" s="444" t="s">
        <v>33</v>
      </c>
      <c r="R25" s="444" t="s">
        <v>33</v>
      </c>
      <c r="S25" s="444" t="s">
        <v>33</v>
      </c>
      <c r="T25" s="444" t="s">
        <v>33</v>
      </c>
      <c r="U25" s="444" t="s">
        <v>33</v>
      </c>
      <c r="V25" s="444" t="s">
        <v>33</v>
      </c>
      <c r="W25" s="444" t="s">
        <v>33</v>
      </c>
      <c r="X25" s="444" t="s">
        <v>33</v>
      </c>
      <c r="Y25" s="444" t="s">
        <v>33</v>
      </c>
      <c r="Z25" s="444" t="s">
        <v>33</v>
      </c>
      <c r="AA25" s="444" t="s">
        <v>33</v>
      </c>
      <c r="AB25" s="444" t="s">
        <v>33</v>
      </c>
      <c r="AC25" s="689"/>
      <c r="AD25" s="444" t="s">
        <v>33</v>
      </c>
      <c r="AE25" s="451" t="s">
        <v>411</v>
      </c>
    </row>
    <row r="26" spans="1:31" s="492" customFormat="1" ht="67.5" customHeight="1" x14ac:dyDescent="0.25">
      <c r="A26" s="13" t="s">
        <v>1368</v>
      </c>
      <c r="B26" s="236" t="s">
        <v>653</v>
      </c>
      <c r="C26" s="410" t="s">
        <v>640</v>
      </c>
      <c r="D26" s="444" t="s">
        <v>33</v>
      </c>
      <c r="E26" s="444" t="s">
        <v>33</v>
      </c>
      <c r="F26" s="444" t="s">
        <v>33</v>
      </c>
      <c r="G26" s="444" t="s">
        <v>33</v>
      </c>
      <c r="H26" s="444" t="s">
        <v>33</v>
      </c>
      <c r="I26" s="444" t="s">
        <v>33</v>
      </c>
      <c r="J26" s="444" t="s">
        <v>33</v>
      </c>
      <c r="K26" s="444" t="s">
        <v>33</v>
      </c>
      <c r="L26" s="444" t="s">
        <v>33</v>
      </c>
      <c r="M26" s="444" t="s">
        <v>33</v>
      </c>
      <c r="N26" s="444" t="s">
        <v>33</v>
      </c>
      <c r="O26" s="444" t="s">
        <v>33</v>
      </c>
      <c r="P26" s="444" t="s">
        <v>1382</v>
      </c>
      <c r="Q26" s="444" t="s">
        <v>33</v>
      </c>
      <c r="R26" s="444" t="s">
        <v>33</v>
      </c>
      <c r="S26" s="444" t="s">
        <v>33</v>
      </c>
      <c r="T26" s="444" t="s">
        <v>33</v>
      </c>
      <c r="U26" s="444" t="s">
        <v>33</v>
      </c>
      <c r="V26" s="444">
        <v>0.16</v>
      </c>
      <c r="W26" s="444" t="s">
        <v>33</v>
      </c>
      <c r="X26" s="444" t="s">
        <v>33</v>
      </c>
      <c r="Y26" s="444" t="s">
        <v>33</v>
      </c>
      <c r="Z26" s="444" t="s">
        <v>33</v>
      </c>
      <c r="AA26" s="444" t="s">
        <v>33</v>
      </c>
      <c r="AB26" s="444" t="s">
        <v>33</v>
      </c>
      <c r="AC26" s="678"/>
      <c r="AD26" s="444" t="s">
        <v>33</v>
      </c>
      <c r="AE26" s="37" t="s">
        <v>411</v>
      </c>
    </row>
    <row r="27" spans="1:31" s="490" customFormat="1" ht="31.5" x14ac:dyDescent="0.25">
      <c r="A27" s="124" t="s">
        <v>68</v>
      </c>
      <c r="B27" s="39" t="s">
        <v>69</v>
      </c>
      <c r="C27" s="442" t="str">
        <f>C28</f>
        <v>нд</v>
      </c>
      <c r="D27" s="442" t="str">
        <f t="shared" ref="D27:M27" si="36">D28</f>
        <v>нд</v>
      </c>
      <c r="E27" s="442" t="str">
        <f t="shared" si="36"/>
        <v>нд</v>
      </c>
      <c r="F27" s="442" t="str">
        <f t="shared" si="36"/>
        <v>нд</v>
      </c>
      <c r="G27" s="442" t="str">
        <f t="shared" si="36"/>
        <v>нд</v>
      </c>
      <c r="H27" s="442" t="str">
        <f t="shared" si="36"/>
        <v>нд</v>
      </c>
      <c r="I27" s="442" t="str">
        <f t="shared" si="36"/>
        <v>нд</v>
      </c>
      <c r="J27" s="442" t="str">
        <f t="shared" si="36"/>
        <v>нд</v>
      </c>
      <c r="K27" s="442" t="str">
        <f t="shared" si="36"/>
        <v>нд</v>
      </c>
      <c r="L27" s="442" t="str">
        <f t="shared" si="36"/>
        <v>нд</v>
      </c>
      <c r="M27" s="442" t="str">
        <f t="shared" si="36"/>
        <v>нд</v>
      </c>
      <c r="N27" s="442" t="str">
        <f t="shared" ref="N27" si="37">N28</f>
        <v>нд</v>
      </c>
      <c r="O27" s="442" t="str">
        <f t="shared" ref="O27" si="38">O28</f>
        <v>нд</v>
      </c>
      <c r="P27" s="442" t="str">
        <f t="shared" ref="P27" si="39">P28</f>
        <v>нд</v>
      </c>
      <c r="Q27" s="442" t="str">
        <f t="shared" ref="Q27" si="40">Q28</f>
        <v>нд</v>
      </c>
      <c r="R27" s="442" t="str">
        <f t="shared" ref="R27" si="41">R28</f>
        <v>нд</v>
      </c>
      <c r="S27" s="442" t="str">
        <f t="shared" ref="S27" si="42">S28</f>
        <v>нд</v>
      </c>
      <c r="T27" s="442" t="str">
        <f t="shared" ref="T27" si="43">T28</f>
        <v>нд</v>
      </c>
      <c r="U27" s="442" t="str">
        <f t="shared" ref="U27" si="44">U28</f>
        <v>нд</v>
      </c>
      <c r="V27" s="442" t="str">
        <f t="shared" ref="V27" si="45">V28</f>
        <v>нд</v>
      </c>
      <c r="W27" s="442" t="str">
        <f t="shared" ref="W27" si="46">W28</f>
        <v>нд</v>
      </c>
      <c r="X27" s="442" t="str">
        <f t="shared" ref="X27" si="47">X28</f>
        <v>нд</v>
      </c>
      <c r="Y27" s="442" t="str">
        <f t="shared" ref="Y27" si="48">Y28</f>
        <v>нд</v>
      </c>
      <c r="Z27" s="442" t="str">
        <f t="shared" ref="Z27" si="49">Z28</f>
        <v>нд</v>
      </c>
      <c r="AA27" s="442" t="str">
        <f t="shared" ref="AA27" si="50">AA28</f>
        <v>нд</v>
      </c>
      <c r="AB27" s="442" t="str">
        <f t="shared" ref="AB27" si="51">AB28</f>
        <v>нд</v>
      </c>
      <c r="AC27" s="442" t="str">
        <f t="shared" ref="AC27" si="52">AC28</f>
        <v>нд</v>
      </c>
      <c r="AD27" s="442" t="str">
        <f t="shared" ref="AD27" si="53">AD28</f>
        <v>нд</v>
      </c>
      <c r="AE27" s="442" t="str">
        <f t="shared" ref="AE27" si="54">AE28</f>
        <v>нд</v>
      </c>
    </row>
    <row r="28" spans="1:31" s="491" customFormat="1" ht="31.5" outlineLevel="1" x14ac:dyDescent="0.25">
      <c r="A28" s="127" t="s">
        <v>70</v>
      </c>
      <c r="B28" s="10" t="s">
        <v>71</v>
      </c>
      <c r="C28" s="444" t="s">
        <v>33</v>
      </c>
      <c r="D28" s="444" t="s">
        <v>33</v>
      </c>
      <c r="E28" s="444" t="s">
        <v>33</v>
      </c>
      <c r="F28" s="444" t="s">
        <v>33</v>
      </c>
      <c r="G28" s="444" t="s">
        <v>33</v>
      </c>
      <c r="H28" s="444" t="s">
        <v>33</v>
      </c>
      <c r="I28" s="444" t="s">
        <v>33</v>
      </c>
      <c r="J28" s="444" t="s">
        <v>33</v>
      </c>
      <c r="K28" s="444" t="s">
        <v>33</v>
      </c>
      <c r="L28" s="444" t="s">
        <v>33</v>
      </c>
      <c r="M28" s="444" t="s">
        <v>33</v>
      </c>
      <c r="N28" s="444" t="s">
        <v>33</v>
      </c>
      <c r="O28" s="444" t="s">
        <v>33</v>
      </c>
      <c r="P28" s="444" t="s">
        <v>33</v>
      </c>
      <c r="Q28" s="444" t="s">
        <v>33</v>
      </c>
      <c r="R28" s="444" t="s">
        <v>33</v>
      </c>
      <c r="S28" s="444" t="s">
        <v>33</v>
      </c>
      <c r="T28" s="444" t="s">
        <v>33</v>
      </c>
      <c r="U28" s="444" t="s">
        <v>33</v>
      </c>
      <c r="V28" s="444" t="s">
        <v>33</v>
      </c>
      <c r="W28" s="444" t="s">
        <v>33</v>
      </c>
      <c r="X28" s="444" t="s">
        <v>33</v>
      </c>
      <c r="Y28" s="444" t="s">
        <v>33</v>
      </c>
      <c r="Z28" s="444" t="s">
        <v>33</v>
      </c>
      <c r="AA28" s="444" t="s">
        <v>33</v>
      </c>
      <c r="AB28" s="444" t="s">
        <v>33</v>
      </c>
      <c r="AC28" s="444" t="s">
        <v>33</v>
      </c>
      <c r="AD28" s="444" t="s">
        <v>33</v>
      </c>
      <c r="AE28" s="444" t="s">
        <v>33</v>
      </c>
    </row>
    <row r="29" spans="1:31" s="491" customFormat="1" ht="20.25" customHeight="1" outlineLevel="1" x14ac:dyDescent="0.25">
      <c r="A29" s="13" t="s">
        <v>616</v>
      </c>
      <c r="B29" s="210" t="s">
        <v>621</v>
      </c>
      <c r="C29" s="410" t="s">
        <v>641</v>
      </c>
      <c r="D29" s="444" t="s">
        <v>33</v>
      </c>
      <c r="E29" s="444" t="s">
        <v>33</v>
      </c>
      <c r="F29" s="444" t="s">
        <v>33</v>
      </c>
      <c r="G29" s="444" t="s">
        <v>33</v>
      </c>
      <c r="H29" s="444" t="s">
        <v>33</v>
      </c>
      <c r="I29" s="444" t="s">
        <v>33</v>
      </c>
      <c r="J29" s="444" t="s">
        <v>33</v>
      </c>
      <c r="K29" s="444" t="s">
        <v>33</v>
      </c>
      <c r="L29" s="444" t="s">
        <v>33</v>
      </c>
      <c r="M29" s="444" t="s">
        <v>33</v>
      </c>
      <c r="N29" s="444" t="s">
        <v>33</v>
      </c>
      <c r="O29" s="444" t="s">
        <v>33</v>
      </c>
      <c r="P29" s="444" t="s">
        <v>33</v>
      </c>
      <c r="Q29" s="444" t="s">
        <v>33</v>
      </c>
      <c r="R29" s="444" t="s">
        <v>33</v>
      </c>
      <c r="S29" s="444" t="s">
        <v>33</v>
      </c>
      <c r="T29" s="444" t="s">
        <v>33</v>
      </c>
      <c r="U29" s="444" t="s">
        <v>33</v>
      </c>
      <c r="V29" s="444" t="s">
        <v>33</v>
      </c>
      <c r="W29" s="444" t="s">
        <v>33</v>
      </c>
      <c r="X29" s="444" t="s">
        <v>33</v>
      </c>
      <c r="Y29" s="444" t="s">
        <v>33</v>
      </c>
      <c r="Z29" s="444" t="s">
        <v>33</v>
      </c>
      <c r="AA29" s="444" t="s">
        <v>33</v>
      </c>
      <c r="AB29" s="444" t="s">
        <v>33</v>
      </c>
      <c r="AC29" s="690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29" s="444" t="s">
        <v>33</v>
      </c>
      <c r="AE29" s="444" t="s">
        <v>33</v>
      </c>
    </row>
    <row r="30" spans="1:31" s="491" customFormat="1" ht="30.75" customHeight="1" outlineLevel="1" x14ac:dyDescent="0.25">
      <c r="A30" s="13" t="s">
        <v>619</v>
      </c>
      <c r="B30" s="210" t="s">
        <v>1334</v>
      </c>
      <c r="C30" s="410" t="s">
        <v>1341</v>
      </c>
      <c r="D30" s="444" t="s">
        <v>33</v>
      </c>
      <c r="E30" s="444" t="s">
        <v>33</v>
      </c>
      <c r="F30" s="444" t="s">
        <v>33</v>
      </c>
      <c r="G30" s="444" t="s">
        <v>33</v>
      </c>
      <c r="H30" s="444" t="s">
        <v>33</v>
      </c>
      <c r="I30" s="444" t="s">
        <v>33</v>
      </c>
      <c r="J30" s="444" t="s">
        <v>33</v>
      </c>
      <c r="K30" s="444" t="s">
        <v>33</v>
      </c>
      <c r="L30" s="444" t="s">
        <v>33</v>
      </c>
      <c r="M30" s="444" t="s">
        <v>33</v>
      </c>
      <c r="N30" s="444" t="s">
        <v>33</v>
      </c>
      <c r="O30" s="444" t="s">
        <v>33</v>
      </c>
      <c r="P30" s="444" t="s">
        <v>33</v>
      </c>
      <c r="Q30" s="444" t="s">
        <v>33</v>
      </c>
      <c r="R30" s="444" t="s">
        <v>33</v>
      </c>
      <c r="S30" s="444" t="s">
        <v>33</v>
      </c>
      <c r="T30" s="444" t="s">
        <v>33</v>
      </c>
      <c r="U30" s="444" t="s">
        <v>33</v>
      </c>
      <c r="V30" s="444" t="s">
        <v>33</v>
      </c>
      <c r="W30" s="444" t="s">
        <v>33</v>
      </c>
      <c r="X30" s="444" t="s">
        <v>33</v>
      </c>
      <c r="Y30" s="444" t="s">
        <v>33</v>
      </c>
      <c r="Z30" s="444" t="s">
        <v>33</v>
      </c>
      <c r="AA30" s="444" t="s">
        <v>33</v>
      </c>
      <c r="AB30" s="444" t="s">
        <v>33</v>
      </c>
      <c r="AC30" s="691"/>
      <c r="AD30" s="444" t="s">
        <v>33</v>
      </c>
      <c r="AE30" s="444" t="s">
        <v>33</v>
      </c>
    </row>
    <row r="31" spans="1:31" s="491" customFormat="1" ht="21" customHeight="1" outlineLevel="1" x14ac:dyDescent="0.25">
      <c r="A31" s="13" t="s">
        <v>620</v>
      </c>
      <c r="B31" s="210" t="s">
        <v>621</v>
      </c>
      <c r="C31" s="410" t="s">
        <v>644</v>
      </c>
      <c r="D31" s="444" t="s">
        <v>33</v>
      </c>
      <c r="E31" s="444" t="s">
        <v>33</v>
      </c>
      <c r="F31" s="444" t="s">
        <v>33</v>
      </c>
      <c r="G31" s="444" t="s">
        <v>33</v>
      </c>
      <c r="H31" s="444" t="s">
        <v>33</v>
      </c>
      <c r="I31" s="444" t="s">
        <v>33</v>
      </c>
      <c r="J31" s="444" t="s">
        <v>33</v>
      </c>
      <c r="K31" s="444" t="s">
        <v>33</v>
      </c>
      <c r="L31" s="444" t="s">
        <v>33</v>
      </c>
      <c r="M31" s="444" t="s">
        <v>33</v>
      </c>
      <c r="N31" s="444" t="s">
        <v>33</v>
      </c>
      <c r="O31" s="444" t="s">
        <v>33</v>
      </c>
      <c r="P31" s="444" t="s">
        <v>33</v>
      </c>
      <c r="Q31" s="444" t="s">
        <v>33</v>
      </c>
      <c r="R31" s="444" t="s">
        <v>33</v>
      </c>
      <c r="S31" s="444" t="s">
        <v>33</v>
      </c>
      <c r="T31" s="444" t="s">
        <v>33</v>
      </c>
      <c r="U31" s="444" t="s">
        <v>33</v>
      </c>
      <c r="V31" s="444" t="s">
        <v>33</v>
      </c>
      <c r="W31" s="444" t="s">
        <v>33</v>
      </c>
      <c r="X31" s="444" t="s">
        <v>33</v>
      </c>
      <c r="Y31" s="444" t="s">
        <v>33</v>
      </c>
      <c r="Z31" s="444" t="s">
        <v>33</v>
      </c>
      <c r="AA31" s="444" t="s">
        <v>33</v>
      </c>
      <c r="AB31" s="444" t="s">
        <v>33</v>
      </c>
      <c r="AC31" s="691"/>
      <c r="AD31" s="444" t="s">
        <v>33</v>
      </c>
      <c r="AE31" s="444" t="s">
        <v>33</v>
      </c>
    </row>
    <row r="32" spans="1:31" s="491" customFormat="1" ht="21" customHeight="1" outlineLevel="1" x14ac:dyDescent="0.25">
      <c r="A32" s="13" t="s">
        <v>1339</v>
      </c>
      <c r="B32" s="210" t="s">
        <v>621</v>
      </c>
      <c r="C32" s="410" t="s">
        <v>645</v>
      </c>
      <c r="D32" s="444" t="s">
        <v>33</v>
      </c>
      <c r="E32" s="444" t="s">
        <v>33</v>
      </c>
      <c r="F32" s="444" t="s">
        <v>33</v>
      </c>
      <c r="G32" s="444" t="s">
        <v>33</v>
      </c>
      <c r="H32" s="444" t="s">
        <v>33</v>
      </c>
      <c r="I32" s="444" t="s">
        <v>33</v>
      </c>
      <c r="J32" s="444" t="s">
        <v>33</v>
      </c>
      <c r="K32" s="444" t="s">
        <v>33</v>
      </c>
      <c r="L32" s="444" t="s">
        <v>33</v>
      </c>
      <c r="M32" s="444" t="s">
        <v>33</v>
      </c>
      <c r="N32" s="444" t="s">
        <v>33</v>
      </c>
      <c r="O32" s="444" t="s">
        <v>33</v>
      </c>
      <c r="P32" s="444" t="s">
        <v>33</v>
      </c>
      <c r="Q32" s="444" t="s">
        <v>33</v>
      </c>
      <c r="R32" s="444" t="s">
        <v>33</v>
      </c>
      <c r="S32" s="444" t="s">
        <v>33</v>
      </c>
      <c r="T32" s="444" t="s">
        <v>33</v>
      </c>
      <c r="U32" s="444" t="s">
        <v>33</v>
      </c>
      <c r="V32" s="444" t="s">
        <v>33</v>
      </c>
      <c r="W32" s="444" t="s">
        <v>33</v>
      </c>
      <c r="X32" s="444" t="s">
        <v>33</v>
      </c>
      <c r="Y32" s="444" t="s">
        <v>33</v>
      </c>
      <c r="Z32" s="444" t="s">
        <v>33</v>
      </c>
      <c r="AA32" s="444" t="s">
        <v>33</v>
      </c>
      <c r="AB32" s="444" t="s">
        <v>33</v>
      </c>
      <c r="AC32" s="692"/>
      <c r="AD32" s="444" t="s">
        <v>33</v>
      </c>
      <c r="AE32" s="444" t="s">
        <v>33</v>
      </c>
    </row>
    <row r="33" spans="1:31" s="576" customFormat="1" ht="19.5" customHeight="1" x14ac:dyDescent="0.25">
      <c r="A33" s="18" t="s">
        <v>466</v>
      </c>
      <c r="B33" s="168" t="s">
        <v>467</v>
      </c>
      <c r="C33" s="575" t="s">
        <v>33</v>
      </c>
      <c r="D33" s="575" t="s">
        <v>33</v>
      </c>
      <c r="E33" s="575" t="s">
        <v>33</v>
      </c>
      <c r="F33" s="575" t="s">
        <v>33</v>
      </c>
      <c r="G33" s="575" t="s">
        <v>33</v>
      </c>
      <c r="H33" s="575" t="s">
        <v>33</v>
      </c>
      <c r="I33" s="575" t="s">
        <v>33</v>
      </c>
      <c r="J33" s="575" t="s">
        <v>33</v>
      </c>
      <c r="K33" s="575" t="s">
        <v>33</v>
      </c>
      <c r="L33" s="575" t="s">
        <v>33</v>
      </c>
      <c r="M33" s="575" t="s">
        <v>33</v>
      </c>
      <c r="N33" s="575" t="s">
        <v>33</v>
      </c>
      <c r="O33" s="575" t="s">
        <v>33</v>
      </c>
      <c r="P33" s="575" t="s">
        <v>33</v>
      </c>
      <c r="Q33" s="575" t="s">
        <v>33</v>
      </c>
      <c r="R33" s="575" t="s">
        <v>33</v>
      </c>
      <c r="S33" s="575" t="s">
        <v>33</v>
      </c>
      <c r="T33" s="575" t="s">
        <v>33</v>
      </c>
      <c r="U33" s="575" t="s">
        <v>33</v>
      </c>
      <c r="V33" s="575" t="s">
        <v>33</v>
      </c>
      <c r="W33" s="575" t="s">
        <v>33</v>
      </c>
      <c r="X33" s="575" t="s">
        <v>33</v>
      </c>
      <c r="Y33" s="575" t="s">
        <v>33</v>
      </c>
      <c r="Z33" s="575" t="s">
        <v>33</v>
      </c>
      <c r="AA33" s="575" t="s">
        <v>33</v>
      </c>
      <c r="AB33" s="575" t="s">
        <v>33</v>
      </c>
      <c r="AC33" s="575" t="s">
        <v>33</v>
      </c>
      <c r="AD33" s="575" t="s">
        <v>33</v>
      </c>
      <c r="AE33" s="575" t="s">
        <v>33</v>
      </c>
    </row>
    <row r="34" spans="1:31" s="498" customFormat="1" ht="32.25" customHeight="1" x14ac:dyDescent="0.25">
      <c r="A34" s="187" t="s">
        <v>468</v>
      </c>
      <c r="B34" s="399" t="s">
        <v>623</v>
      </c>
      <c r="C34" s="410" t="s">
        <v>1352</v>
      </c>
      <c r="D34" s="444" t="s">
        <v>33</v>
      </c>
      <c r="E34" s="444" t="s">
        <v>33</v>
      </c>
      <c r="F34" s="444" t="s">
        <v>33</v>
      </c>
      <c r="G34" s="444" t="s">
        <v>33</v>
      </c>
      <c r="H34" s="444" t="s">
        <v>33</v>
      </c>
      <c r="I34" s="444" t="s">
        <v>33</v>
      </c>
      <c r="J34" s="444" t="s">
        <v>33</v>
      </c>
      <c r="K34" s="444" t="s">
        <v>33</v>
      </c>
      <c r="L34" s="444" t="s">
        <v>33</v>
      </c>
      <c r="M34" s="444" t="s">
        <v>33</v>
      </c>
      <c r="N34" s="444" t="s">
        <v>33</v>
      </c>
      <c r="O34" s="444" t="s">
        <v>33</v>
      </c>
      <c r="P34" s="444" t="s">
        <v>33</v>
      </c>
      <c r="Q34" s="444" t="s">
        <v>33</v>
      </c>
      <c r="R34" s="444" t="s">
        <v>33</v>
      </c>
      <c r="S34" s="444" t="s">
        <v>33</v>
      </c>
      <c r="T34" s="444" t="s">
        <v>33</v>
      </c>
      <c r="U34" s="444" t="s">
        <v>33</v>
      </c>
      <c r="V34" s="444" t="s">
        <v>33</v>
      </c>
      <c r="W34" s="444" t="s">
        <v>33</v>
      </c>
      <c r="X34" s="444" t="s">
        <v>33</v>
      </c>
      <c r="Y34" s="444" t="s">
        <v>33</v>
      </c>
      <c r="Z34" s="444" t="s">
        <v>33</v>
      </c>
      <c r="AA34" s="444" t="s">
        <v>33</v>
      </c>
      <c r="AB34" s="444" t="s">
        <v>33</v>
      </c>
      <c r="AC34" s="686" t="str">
        <f>Лист1!D10</f>
        <v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деятельности, техперевооружение</v>
      </c>
      <c r="AD34" s="444" t="s">
        <v>33</v>
      </c>
      <c r="AE34" s="444" t="s">
        <v>33</v>
      </c>
    </row>
    <row r="35" spans="1:31" s="498" customFormat="1" ht="32.25" customHeight="1" x14ac:dyDescent="0.25">
      <c r="A35" s="187" t="s">
        <v>622</v>
      </c>
      <c r="B35" s="237" t="s">
        <v>1337</v>
      </c>
      <c r="C35" s="410" t="s">
        <v>1353</v>
      </c>
      <c r="D35" s="444" t="s">
        <v>33</v>
      </c>
      <c r="E35" s="444" t="s">
        <v>33</v>
      </c>
      <c r="F35" s="444" t="s">
        <v>33</v>
      </c>
      <c r="G35" s="444" t="s">
        <v>33</v>
      </c>
      <c r="H35" s="444" t="s">
        <v>33</v>
      </c>
      <c r="I35" s="444" t="s">
        <v>33</v>
      </c>
      <c r="J35" s="444" t="s">
        <v>33</v>
      </c>
      <c r="K35" s="444" t="s">
        <v>33</v>
      </c>
      <c r="L35" s="444" t="s">
        <v>33</v>
      </c>
      <c r="M35" s="444" t="s">
        <v>33</v>
      </c>
      <c r="N35" s="444" t="s">
        <v>33</v>
      </c>
      <c r="O35" s="444" t="s">
        <v>33</v>
      </c>
      <c r="P35" s="444" t="s">
        <v>33</v>
      </c>
      <c r="Q35" s="444" t="s">
        <v>33</v>
      </c>
      <c r="R35" s="444" t="s">
        <v>33</v>
      </c>
      <c r="S35" s="444" t="s">
        <v>33</v>
      </c>
      <c r="T35" s="444" t="s">
        <v>33</v>
      </c>
      <c r="U35" s="444" t="s">
        <v>33</v>
      </c>
      <c r="V35" s="444" t="s">
        <v>33</v>
      </c>
      <c r="W35" s="444" t="s">
        <v>33</v>
      </c>
      <c r="X35" s="444" t="s">
        <v>33</v>
      </c>
      <c r="Y35" s="444" t="s">
        <v>33</v>
      </c>
      <c r="Z35" s="444" t="s">
        <v>33</v>
      </c>
      <c r="AA35" s="444" t="s">
        <v>33</v>
      </c>
      <c r="AB35" s="444" t="s">
        <v>33</v>
      </c>
      <c r="AC35" s="687"/>
      <c r="AD35" s="444" t="s">
        <v>33</v>
      </c>
      <c r="AE35" s="444" t="s">
        <v>33</v>
      </c>
    </row>
    <row r="36" spans="1:31" s="498" customFormat="1" ht="32.25" customHeight="1" x14ac:dyDescent="0.25">
      <c r="A36" s="187" t="s">
        <v>1335</v>
      </c>
      <c r="B36" s="399" t="s">
        <v>624</v>
      </c>
      <c r="C36" s="410" t="s">
        <v>646</v>
      </c>
      <c r="D36" s="444" t="s">
        <v>33</v>
      </c>
      <c r="E36" s="444" t="s">
        <v>33</v>
      </c>
      <c r="F36" s="444" t="s">
        <v>33</v>
      </c>
      <c r="G36" s="444" t="s">
        <v>33</v>
      </c>
      <c r="H36" s="444" t="s">
        <v>33</v>
      </c>
      <c r="I36" s="444" t="s">
        <v>33</v>
      </c>
      <c r="J36" s="444" t="s">
        <v>33</v>
      </c>
      <c r="K36" s="444" t="s">
        <v>33</v>
      </c>
      <c r="L36" s="444" t="s">
        <v>33</v>
      </c>
      <c r="M36" s="444" t="s">
        <v>33</v>
      </c>
      <c r="N36" s="444" t="s">
        <v>33</v>
      </c>
      <c r="O36" s="444" t="s">
        <v>33</v>
      </c>
      <c r="P36" s="444" t="s">
        <v>33</v>
      </c>
      <c r="Q36" s="444" t="s">
        <v>33</v>
      </c>
      <c r="R36" s="444" t="s">
        <v>33</v>
      </c>
      <c r="S36" s="444" t="s">
        <v>33</v>
      </c>
      <c r="T36" s="444" t="s">
        <v>33</v>
      </c>
      <c r="U36" s="444" t="s">
        <v>33</v>
      </c>
      <c r="V36" s="444" t="s">
        <v>33</v>
      </c>
      <c r="W36" s="444" t="s">
        <v>33</v>
      </c>
      <c r="X36" s="444" t="s">
        <v>33</v>
      </c>
      <c r="Y36" s="444" t="s">
        <v>33</v>
      </c>
      <c r="Z36" s="444" t="s">
        <v>33</v>
      </c>
      <c r="AA36" s="444" t="s">
        <v>33</v>
      </c>
      <c r="AB36" s="444" t="s">
        <v>33</v>
      </c>
      <c r="AC36" s="688"/>
      <c r="AD36" s="444" t="s">
        <v>33</v>
      </c>
      <c r="AE36" s="444" t="s">
        <v>33</v>
      </c>
    </row>
    <row r="38" spans="1:31" x14ac:dyDescent="0.25">
      <c r="J38" s="500"/>
      <c r="K38" s="501"/>
      <c r="N38" s="501"/>
    </row>
    <row r="39" spans="1:31" x14ac:dyDescent="0.25">
      <c r="M39" s="501"/>
    </row>
    <row r="40" spans="1:31" x14ac:dyDescent="0.25">
      <c r="M40" s="501"/>
    </row>
    <row r="41" spans="1:31" ht="18.75" x14ac:dyDescent="0.25">
      <c r="B41" s="170" t="s">
        <v>52</v>
      </c>
      <c r="C41" s="171"/>
      <c r="D41" s="171"/>
      <c r="E41" s="171" t="s">
        <v>1325</v>
      </c>
      <c r="M41" s="501"/>
    </row>
    <row r="42" spans="1:31" ht="18.75" x14ac:dyDescent="0.25">
      <c r="B42" s="170"/>
      <c r="C42" s="171"/>
      <c r="D42" s="171"/>
      <c r="E42" s="171"/>
      <c r="M42" s="501"/>
    </row>
    <row r="43" spans="1:31" ht="18.75" x14ac:dyDescent="0.25">
      <c r="B43" s="170"/>
      <c r="C43" s="171"/>
      <c r="D43" s="171"/>
      <c r="E43" s="171"/>
      <c r="M43" s="501"/>
    </row>
    <row r="44" spans="1:31" x14ac:dyDescent="0.25">
      <c r="M44" s="501"/>
    </row>
    <row r="45" spans="1:31" x14ac:dyDescent="0.25">
      <c r="M45" s="501"/>
    </row>
    <row r="47" spans="1:31" s="30" customFormat="1" x14ac:dyDescent="0.25">
      <c r="A47" s="633" t="s">
        <v>156</v>
      </c>
      <c r="B47" s="633"/>
      <c r="C47" s="633"/>
      <c r="D47" s="633"/>
      <c r="E47" s="633"/>
      <c r="F47" s="633"/>
      <c r="G47" s="633"/>
      <c r="H47" s="633"/>
      <c r="I47" s="633"/>
      <c r="J47" s="633"/>
      <c r="K47" s="633"/>
    </row>
    <row r="48" spans="1:31" s="30" customFormat="1" x14ac:dyDescent="0.25">
      <c r="A48" s="616" t="s">
        <v>157</v>
      </c>
      <c r="B48" s="616"/>
      <c r="C48" s="616"/>
      <c r="D48" s="616"/>
      <c r="E48" s="616"/>
      <c r="F48" s="616"/>
      <c r="G48" s="616"/>
      <c r="H48" s="616"/>
      <c r="I48" s="616"/>
      <c r="J48" s="616"/>
      <c r="K48" s="616"/>
    </row>
    <row r="49" spans="1:11" s="30" customFormat="1" x14ac:dyDescent="0.25">
      <c r="A49" s="616" t="s">
        <v>158</v>
      </c>
      <c r="B49" s="616"/>
      <c r="C49" s="616"/>
      <c r="D49" s="616"/>
      <c r="E49" s="616"/>
      <c r="F49" s="616"/>
      <c r="G49" s="616"/>
      <c r="H49" s="616"/>
      <c r="I49" s="616"/>
      <c r="J49" s="616"/>
      <c r="K49" s="616"/>
    </row>
    <row r="50" spans="1:11" s="30" customFormat="1" x14ac:dyDescent="0.25">
      <c r="A50" s="616" t="s">
        <v>159</v>
      </c>
      <c r="B50" s="616"/>
      <c r="C50" s="616"/>
      <c r="D50" s="616"/>
      <c r="E50" s="616"/>
      <c r="F50" s="616"/>
      <c r="G50" s="616"/>
      <c r="H50" s="616"/>
      <c r="I50" s="616"/>
      <c r="J50" s="616"/>
      <c r="K50" s="616"/>
    </row>
  </sheetData>
  <mergeCells count="43">
    <mergeCell ref="AC34:AC36"/>
    <mergeCell ref="AC22:AC26"/>
    <mergeCell ref="AC29:AC32"/>
    <mergeCell ref="AC17:AC19"/>
    <mergeCell ref="A48:K48"/>
    <mergeCell ref="A49:K49"/>
    <mergeCell ref="A50:K50"/>
    <mergeCell ref="A1:N1"/>
    <mergeCell ref="A2:N2"/>
    <mergeCell ref="A3:N3"/>
    <mergeCell ref="A4:N4"/>
    <mergeCell ref="A5:N5"/>
    <mergeCell ref="A6:N6"/>
    <mergeCell ref="A7:AC7"/>
    <mergeCell ref="A47:K47"/>
    <mergeCell ref="A8:A10"/>
    <mergeCell ref="B8:B10"/>
    <mergeCell ref="C8:C10"/>
    <mergeCell ref="D8:D10"/>
    <mergeCell ref="U8:Z8"/>
    <mergeCell ref="W9:X9"/>
    <mergeCell ref="AE17:AE18"/>
    <mergeCell ref="AD17:AD18"/>
    <mergeCell ref="E8:E10"/>
    <mergeCell ref="F8:F10"/>
    <mergeCell ref="G8:G10"/>
    <mergeCell ref="H8:K8"/>
    <mergeCell ref="L8:M9"/>
    <mergeCell ref="H9:H10"/>
    <mergeCell ref="I9:I10"/>
    <mergeCell ref="J9:J10"/>
    <mergeCell ref="K9:K10"/>
    <mergeCell ref="N8:N10"/>
    <mergeCell ref="AA8:AB9"/>
    <mergeCell ref="AC8:AC10"/>
    <mergeCell ref="AD8:AE9"/>
    <mergeCell ref="U9:V9"/>
    <mergeCell ref="Y9:Z9"/>
    <mergeCell ref="O8:O10"/>
    <mergeCell ref="P8:P10"/>
    <mergeCell ref="Q8:R9"/>
    <mergeCell ref="S8:S10"/>
    <mergeCell ref="T8:T10"/>
  </mergeCells>
  <pageMargins left="0.31496062992125984" right="0.11811023622047245" top="0.35433070866141736" bottom="0.35433070866141736" header="0.11811023622047245" footer="0.11811023622047245"/>
  <pageSetup paperSize="8" scale="58" fitToWidth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39"/>
  <sheetViews>
    <sheetView topLeftCell="A4" zoomScale="75" zoomScaleNormal="75" workbookViewId="0">
      <selection activeCell="I20" sqref="I20"/>
    </sheetView>
  </sheetViews>
  <sheetFormatPr defaultColWidth="8.85546875" defaultRowHeight="15.75" outlineLevelRow="1" x14ac:dyDescent="0.25"/>
  <cols>
    <col min="1" max="1" width="10" style="14" customWidth="1"/>
    <col min="2" max="2" width="85.85546875" customWidth="1"/>
    <col min="3" max="3" width="19.28515625" bestFit="1" customWidth="1"/>
    <col min="4" max="4" width="25.28515625" customWidth="1"/>
    <col min="5" max="5" width="15.42578125" style="33" customWidth="1"/>
    <col min="6" max="6" width="26.140625" style="33" customWidth="1"/>
    <col min="7" max="7" width="22" customWidth="1"/>
    <col min="8" max="8" width="25.42578125" customWidth="1"/>
    <col min="9" max="9" width="25.7109375" customWidth="1"/>
    <col min="10" max="10" width="25" style="35" customWidth="1"/>
    <col min="11" max="11" width="22.85546875" customWidth="1"/>
  </cols>
  <sheetData>
    <row r="1" spans="1:11" s="41" customFormat="1" ht="16.5" x14ac:dyDescent="0.25">
      <c r="A1" s="693" t="s">
        <v>412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</row>
    <row r="2" spans="1:11" s="41" customFormat="1" ht="15" x14ac:dyDescent="0.25"/>
    <row r="3" spans="1:11" s="41" customFormat="1" x14ac:dyDescent="0.25">
      <c r="A3" s="661" t="s">
        <v>358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4" spans="1:11" s="41" customFormat="1" x14ac:dyDescent="0.25">
      <c r="A4" s="694" t="s">
        <v>2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</row>
    <row r="5" spans="1:11" s="41" customFormat="1" ht="15" x14ac:dyDescent="0.25"/>
    <row r="6" spans="1:11" s="41" customFormat="1" x14ac:dyDescent="0.25">
      <c r="A6" s="695" t="s">
        <v>1328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</row>
    <row r="7" spans="1:11" s="41" customFormat="1" ht="15" x14ac:dyDescent="0.25">
      <c r="A7" s="86"/>
      <c r="B7" s="138"/>
      <c r="C7" s="138"/>
      <c r="D7" s="138"/>
      <c r="E7" s="138"/>
      <c r="F7" s="138"/>
      <c r="G7" s="138"/>
      <c r="H7" s="138"/>
      <c r="I7" s="138"/>
      <c r="J7" s="67"/>
      <c r="K7" s="67"/>
    </row>
    <row r="8" spans="1:11" s="67" customFormat="1" ht="93" customHeight="1" x14ac:dyDescent="0.25">
      <c r="A8" s="696" t="s">
        <v>3</v>
      </c>
      <c r="B8" s="696" t="s">
        <v>4</v>
      </c>
      <c r="C8" s="696" t="s">
        <v>5</v>
      </c>
      <c r="D8" s="696" t="s">
        <v>413</v>
      </c>
      <c r="E8" s="699" t="s">
        <v>414</v>
      </c>
      <c r="F8" s="700" t="s">
        <v>415</v>
      </c>
      <c r="G8" s="702" t="s">
        <v>416</v>
      </c>
      <c r="H8" s="702"/>
      <c r="I8" s="696" t="s">
        <v>417</v>
      </c>
      <c r="J8" s="698" t="s">
        <v>384</v>
      </c>
      <c r="K8" s="698"/>
    </row>
    <row r="9" spans="1:11" s="67" customFormat="1" ht="296.25" customHeight="1" x14ac:dyDescent="0.25">
      <c r="A9" s="697"/>
      <c r="B9" s="697"/>
      <c r="C9" s="697"/>
      <c r="D9" s="697"/>
      <c r="E9" s="699"/>
      <c r="F9" s="701"/>
      <c r="G9" s="151" t="s">
        <v>418</v>
      </c>
      <c r="H9" s="151" t="s">
        <v>419</v>
      </c>
      <c r="I9" s="697"/>
      <c r="J9" s="152" t="s">
        <v>396</v>
      </c>
      <c r="K9" s="152" t="s">
        <v>397</v>
      </c>
    </row>
    <row r="10" spans="1:11" s="67" customFormat="1" ht="15" customHeight="1" x14ac:dyDescent="0.25">
      <c r="A10" s="63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  <c r="K10" s="63">
        <v>11</v>
      </c>
    </row>
    <row r="11" spans="1:11" s="120" customFormat="1" x14ac:dyDescent="0.25">
      <c r="A11" s="118" t="s">
        <v>31</v>
      </c>
      <c r="B11" s="38" t="s">
        <v>32</v>
      </c>
      <c r="C11" s="119" t="s">
        <v>33</v>
      </c>
      <c r="D11" s="119" t="s">
        <v>33</v>
      </c>
      <c r="E11" s="119" t="s">
        <v>33</v>
      </c>
      <c r="F11" s="119" t="s">
        <v>33</v>
      </c>
      <c r="G11" s="119" t="s">
        <v>33</v>
      </c>
      <c r="H11" s="119" t="s">
        <v>33</v>
      </c>
      <c r="I11" s="119" t="s">
        <v>33</v>
      </c>
      <c r="J11" s="119" t="s">
        <v>33</v>
      </c>
      <c r="K11" s="119" t="s">
        <v>33</v>
      </c>
    </row>
    <row r="12" spans="1:11" s="123" customFormat="1" x14ac:dyDescent="0.25">
      <c r="A12" s="121" t="s">
        <v>55</v>
      </c>
      <c r="B12" s="9" t="s">
        <v>34</v>
      </c>
      <c r="C12" s="122" t="s">
        <v>33</v>
      </c>
      <c r="D12" s="122" t="s">
        <v>33</v>
      </c>
      <c r="E12" s="122" t="s">
        <v>33</v>
      </c>
      <c r="F12" s="122" t="s">
        <v>33</v>
      </c>
      <c r="G12" s="122" t="s">
        <v>33</v>
      </c>
      <c r="H12" s="122" t="s">
        <v>33</v>
      </c>
      <c r="I12" s="122" t="s">
        <v>33</v>
      </c>
      <c r="J12" s="122" t="s">
        <v>33</v>
      </c>
      <c r="K12" s="122" t="s">
        <v>33</v>
      </c>
    </row>
    <row r="13" spans="1:11" s="120" customFormat="1" ht="22.5" customHeight="1" x14ac:dyDescent="0.25">
      <c r="A13" s="118" t="s">
        <v>36</v>
      </c>
      <c r="B13" s="38" t="s">
        <v>37</v>
      </c>
      <c r="C13" s="119" t="str">
        <f>C14</f>
        <v>нд</v>
      </c>
      <c r="D13" s="119" t="str">
        <f t="shared" ref="D13:K13" si="0">D14</f>
        <v>нд</v>
      </c>
      <c r="E13" s="119" t="str">
        <f t="shared" si="0"/>
        <v>нд</v>
      </c>
      <c r="F13" s="119" t="str">
        <f t="shared" si="0"/>
        <v>нд</v>
      </c>
      <c r="G13" s="119" t="str">
        <f t="shared" si="0"/>
        <v>нд</v>
      </c>
      <c r="H13" s="119" t="str">
        <f t="shared" si="0"/>
        <v>нд</v>
      </c>
      <c r="I13" s="119" t="str">
        <f t="shared" si="0"/>
        <v>нд</v>
      </c>
      <c r="J13" s="119" t="str">
        <f t="shared" si="0"/>
        <v>нд</v>
      </c>
      <c r="K13" s="119" t="str">
        <f t="shared" si="0"/>
        <v>нд</v>
      </c>
    </row>
    <row r="14" spans="1:11" s="126" customFormat="1" ht="36" customHeight="1" x14ac:dyDescent="0.25">
      <c r="A14" s="124" t="s">
        <v>53</v>
      </c>
      <c r="B14" s="39" t="s">
        <v>54</v>
      </c>
      <c r="C14" s="125" t="str">
        <f>C15</f>
        <v>нд</v>
      </c>
      <c r="D14" s="125" t="str">
        <f t="shared" ref="D14:K14" si="1">D15</f>
        <v>нд</v>
      </c>
      <c r="E14" s="125" t="str">
        <f t="shared" si="1"/>
        <v>нд</v>
      </c>
      <c r="F14" s="125" t="str">
        <f t="shared" si="1"/>
        <v>нд</v>
      </c>
      <c r="G14" s="125" t="str">
        <f t="shared" si="1"/>
        <v>нд</v>
      </c>
      <c r="H14" s="125" t="str">
        <f t="shared" si="1"/>
        <v>нд</v>
      </c>
      <c r="I14" s="125" t="str">
        <f t="shared" si="1"/>
        <v>нд</v>
      </c>
      <c r="J14" s="125" t="str">
        <f t="shared" si="1"/>
        <v>нд</v>
      </c>
      <c r="K14" s="125" t="str">
        <f t="shared" si="1"/>
        <v>нд</v>
      </c>
    </row>
    <row r="15" spans="1:11" s="129" customFormat="1" x14ac:dyDescent="0.25">
      <c r="A15" s="127" t="s">
        <v>38</v>
      </c>
      <c r="B15" s="10" t="s">
        <v>39</v>
      </c>
      <c r="C15" s="317" t="s">
        <v>33</v>
      </c>
      <c r="D15" s="317" t="s">
        <v>33</v>
      </c>
      <c r="E15" s="317" t="s">
        <v>33</v>
      </c>
      <c r="F15" s="317" t="s">
        <v>33</v>
      </c>
      <c r="G15" s="317" t="s">
        <v>33</v>
      </c>
      <c r="H15" s="317" t="s">
        <v>33</v>
      </c>
      <c r="I15" s="317" t="s">
        <v>33</v>
      </c>
      <c r="J15" s="317" t="s">
        <v>33</v>
      </c>
      <c r="K15" s="317" t="s">
        <v>33</v>
      </c>
    </row>
    <row r="16" spans="1:11" s="191" customFormat="1" ht="31.5" x14ac:dyDescent="0.25">
      <c r="A16" s="13" t="s">
        <v>40</v>
      </c>
      <c r="B16" s="236" t="s">
        <v>1330</v>
      </c>
      <c r="C16" s="201" t="s">
        <v>1331</v>
      </c>
      <c r="D16" s="335">
        <v>2023</v>
      </c>
      <c r="E16" s="335">
        <v>2023</v>
      </c>
      <c r="F16" s="317" t="s">
        <v>33</v>
      </c>
      <c r="G16" s="317" t="s">
        <v>33</v>
      </c>
      <c r="H16" s="317" t="s">
        <v>33</v>
      </c>
      <c r="I16" s="317" t="s">
        <v>33</v>
      </c>
      <c r="J16" s="317" t="s">
        <v>33</v>
      </c>
      <c r="K16" s="317" t="s">
        <v>33</v>
      </c>
    </row>
    <row r="17" spans="1:11" s="191" customFormat="1" x14ac:dyDescent="0.25">
      <c r="A17" s="13" t="s">
        <v>465</v>
      </c>
      <c r="B17" s="237" t="s">
        <v>648</v>
      </c>
      <c r="C17" s="201" t="s">
        <v>637</v>
      </c>
      <c r="D17" s="195">
        <v>2025</v>
      </c>
      <c r="E17" s="195">
        <v>2025</v>
      </c>
      <c r="F17" s="317" t="s">
        <v>33</v>
      </c>
      <c r="G17" s="317" t="s">
        <v>33</v>
      </c>
      <c r="H17" s="317" t="s">
        <v>33</v>
      </c>
      <c r="I17" s="317" t="s">
        <v>33</v>
      </c>
      <c r="J17" s="317" t="s">
        <v>33</v>
      </c>
      <c r="K17" s="317" t="s">
        <v>33</v>
      </c>
    </row>
    <row r="18" spans="1:11" s="191" customFormat="1" x14ac:dyDescent="0.25">
      <c r="A18" s="13" t="s">
        <v>615</v>
      </c>
      <c r="B18" s="237" t="s">
        <v>649</v>
      </c>
      <c r="C18" s="201" t="s">
        <v>638</v>
      </c>
      <c r="D18" s="195">
        <v>2026</v>
      </c>
      <c r="E18" s="195">
        <v>2026</v>
      </c>
      <c r="F18" s="317" t="s">
        <v>33</v>
      </c>
      <c r="G18" s="317" t="s">
        <v>33</v>
      </c>
      <c r="H18" s="317" t="s">
        <v>33</v>
      </c>
      <c r="I18" s="317" t="s">
        <v>33</v>
      </c>
      <c r="J18" s="317" t="s">
        <v>33</v>
      </c>
      <c r="K18" s="317" t="s">
        <v>33</v>
      </c>
    </row>
    <row r="19" spans="1:11" s="126" customFormat="1" ht="31.5" x14ac:dyDescent="0.25">
      <c r="A19" s="124" t="s">
        <v>41</v>
      </c>
      <c r="B19" s="39" t="s">
        <v>42</v>
      </c>
      <c r="C19" s="125" t="str">
        <f>C20</f>
        <v>нд</v>
      </c>
      <c r="D19" s="125" t="str">
        <f t="shared" ref="D19:K19" si="2">D20</f>
        <v>нд</v>
      </c>
      <c r="E19" s="125" t="str">
        <f t="shared" si="2"/>
        <v>нд</v>
      </c>
      <c r="F19" s="125" t="str">
        <f t="shared" si="2"/>
        <v>нд</v>
      </c>
      <c r="G19" s="125" t="str">
        <f t="shared" si="2"/>
        <v>нд</v>
      </c>
      <c r="H19" s="125" t="str">
        <f t="shared" si="2"/>
        <v>нд</v>
      </c>
      <c r="I19" s="125" t="str">
        <f t="shared" si="2"/>
        <v>нд</v>
      </c>
      <c r="J19" s="125" t="str">
        <f t="shared" si="2"/>
        <v>нд</v>
      </c>
      <c r="K19" s="125" t="str">
        <f t="shared" si="2"/>
        <v>нд</v>
      </c>
    </row>
    <row r="20" spans="1:11" s="129" customFormat="1" x14ac:dyDescent="0.25">
      <c r="A20" s="127" t="s">
        <v>49</v>
      </c>
      <c r="B20" s="10" t="s">
        <v>50</v>
      </c>
      <c r="C20" s="317" t="s">
        <v>33</v>
      </c>
      <c r="D20" s="317" t="s">
        <v>33</v>
      </c>
      <c r="E20" s="317" t="s">
        <v>33</v>
      </c>
      <c r="F20" s="317" t="s">
        <v>33</v>
      </c>
      <c r="G20" s="317" t="s">
        <v>33</v>
      </c>
      <c r="H20" s="317" t="s">
        <v>33</v>
      </c>
      <c r="I20" s="317" t="s">
        <v>33</v>
      </c>
      <c r="J20" s="317" t="s">
        <v>33</v>
      </c>
      <c r="K20" s="317" t="s">
        <v>33</v>
      </c>
    </row>
    <row r="21" spans="1:11" s="129" customFormat="1" ht="34.5" customHeight="1" x14ac:dyDescent="0.25">
      <c r="A21" s="13" t="s">
        <v>51</v>
      </c>
      <c r="B21" s="236" t="s">
        <v>650</v>
      </c>
      <c r="C21" s="201" t="s">
        <v>1329</v>
      </c>
      <c r="D21" s="195">
        <v>2023</v>
      </c>
      <c r="E21" s="195">
        <v>2023</v>
      </c>
      <c r="F21" s="317" t="s">
        <v>33</v>
      </c>
      <c r="G21" s="317" t="s">
        <v>33</v>
      </c>
      <c r="H21" s="317" t="s">
        <v>33</v>
      </c>
      <c r="I21" s="317" t="s">
        <v>33</v>
      </c>
      <c r="J21" s="317" t="s">
        <v>33</v>
      </c>
      <c r="K21" s="317" t="s">
        <v>33</v>
      </c>
    </row>
    <row r="22" spans="1:11" s="129" customFormat="1" x14ac:dyDescent="0.25">
      <c r="A22" s="13" t="s">
        <v>578</v>
      </c>
      <c r="B22" s="236" t="s">
        <v>651</v>
      </c>
      <c r="C22" s="201" t="s">
        <v>1332</v>
      </c>
      <c r="D22" s="195">
        <v>2024</v>
      </c>
      <c r="E22" s="195">
        <v>2024</v>
      </c>
      <c r="F22" s="317" t="s">
        <v>33</v>
      </c>
      <c r="G22" s="317" t="s">
        <v>33</v>
      </c>
      <c r="H22" s="317" t="s">
        <v>33</v>
      </c>
      <c r="I22" s="317" t="s">
        <v>33</v>
      </c>
      <c r="J22" s="317" t="s">
        <v>33</v>
      </c>
      <c r="K22" s="317" t="s">
        <v>33</v>
      </c>
    </row>
    <row r="23" spans="1:11" s="129" customFormat="1" x14ac:dyDescent="0.25">
      <c r="A23" s="13" t="s">
        <v>580</v>
      </c>
      <c r="B23" s="236" t="s">
        <v>652</v>
      </c>
      <c r="C23" s="201" t="s">
        <v>1333</v>
      </c>
      <c r="D23" s="195">
        <v>2024</v>
      </c>
      <c r="E23" s="195">
        <v>2024</v>
      </c>
      <c r="F23" s="317" t="s">
        <v>33</v>
      </c>
      <c r="G23" s="317" t="s">
        <v>33</v>
      </c>
      <c r="H23" s="317" t="s">
        <v>33</v>
      </c>
      <c r="I23" s="317" t="s">
        <v>33</v>
      </c>
      <c r="J23" s="317" t="s">
        <v>33</v>
      </c>
      <c r="K23" s="317" t="s">
        <v>33</v>
      </c>
    </row>
    <row r="24" spans="1:11" s="129" customFormat="1" ht="20.25" customHeight="1" x14ac:dyDescent="0.25">
      <c r="A24" s="13"/>
      <c r="B24" s="236" t="s">
        <v>1340</v>
      </c>
      <c r="C24" s="201" t="s">
        <v>1336</v>
      </c>
      <c r="D24" s="195">
        <v>2024</v>
      </c>
      <c r="E24" s="195">
        <v>2024</v>
      </c>
      <c r="F24" s="317" t="s">
        <v>33</v>
      </c>
      <c r="G24" s="317" t="s">
        <v>33</v>
      </c>
      <c r="H24" s="317" t="s">
        <v>33</v>
      </c>
      <c r="I24" s="317" t="s">
        <v>33</v>
      </c>
      <c r="J24" s="317" t="s">
        <v>33</v>
      </c>
      <c r="K24" s="317" t="s">
        <v>33</v>
      </c>
    </row>
    <row r="25" spans="1:11" s="191" customFormat="1" ht="47.25" x14ac:dyDescent="0.25">
      <c r="A25" s="13" t="s">
        <v>581</v>
      </c>
      <c r="B25" s="236" t="s">
        <v>653</v>
      </c>
      <c r="C25" s="201" t="s">
        <v>640</v>
      </c>
      <c r="D25" s="195">
        <v>2025</v>
      </c>
      <c r="E25" s="195">
        <v>2025</v>
      </c>
      <c r="F25" s="317" t="s">
        <v>33</v>
      </c>
      <c r="G25" s="317" t="s">
        <v>33</v>
      </c>
      <c r="H25" s="317" t="s">
        <v>33</v>
      </c>
      <c r="I25" s="317" t="s">
        <v>33</v>
      </c>
      <c r="J25" s="317" t="s">
        <v>33</v>
      </c>
      <c r="K25" s="317" t="s">
        <v>33</v>
      </c>
    </row>
    <row r="26" spans="1:11" s="126" customFormat="1" ht="31.5" x14ac:dyDescent="0.25">
      <c r="A26" s="124" t="s">
        <v>68</v>
      </c>
      <c r="B26" s="39" t="s">
        <v>69</v>
      </c>
      <c r="C26" s="125" t="str">
        <f>C27</f>
        <v>нд</v>
      </c>
      <c r="D26" s="125" t="str">
        <f t="shared" ref="D26:K26" si="3">D27</f>
        <v>нд</v>
      </c>
      <c r="E26" s="125" t="str">
        <f t="shared" si="3"/>
        <v>нд</v>
      </c>
      <c r="F26" s="125" t="str">
        <f t="shared" si="3"/>
        <v>нд</v>
      </c>
      <c r="G26" s="125" t="str">
        <f t="shared" si="3"/>
        <v>нд</v>
      </c>
      <c r="H26" s="125" t="str">
        <f t="shared" si="3"/>
        <v>нд</v>
      </c>
      <c r="I26" s="125" t="str">
        <f t="shared" si="3"/>
        <v>нд</v>
      </c>
      <c r="J26" s="125" t="str">
        <f t="shared" si="3"/>
        <v>нд</v>
      </c>
      <c r="K26" s="125" t="str">
        <f t="shared" si="3"/>
        <v>нд</v>
      </c>
    </row>
    <row r="27" spans="1:11" s="129" customFormat="1" outlineLevel="1" x14ac:dyDescent="0.25">
      <c r="A27" s="127" t="s">
        <v>70</v>
      </c>
      <c r="B27" s="10" t="s">
        <v>71</v>
      </c>
      <c r="C27" s="317" t="s">
        <v>33</v>
      </c>
      <c r="D27" s="317" t="s">
        <v>33</v>
      </c>
      <c r="E27" s="317" t="s">
        <v>33</v>
      </c>
      <c r="F27" s="317" t="s">
        <v>33</v>
      </c>
      <c r="G27" s="317" t="s">
        <v>33</v>
      </c>
      <c r="H27" s="317" t="s">
        <v>33</v>
      </c>
      <c r="I27" s="317" t="s">
        <v>33</v>
      </c>
      <c r="J27" s="317" t="s">
        <v>33</v>
      </c>
      <c r="K27" s="317" t="s">
        <v>33</v>
      </c>
    </row>
    <row r="28" spans="1:11" s="129" customFormat="1" outlineLevel="1" x14ac:dyDescent="0.25">
      <c r="A28" s="13" t="s">
        <v>616</v>
      </c>
      <c r="B28" s="210" t="s">
        <v>621</v>
      </c>
      <c r="C28" s="201" t="s">
        <v>641</v>
      </c>
      <c r="D28" s="195">
        <v>2022</v>
      </c>
      <c r="E28" s="195">
        <v>2022</v>
      </c>
      <c r="F28" s="317" t="s">
        <v>33</v>
      </c>
      <c r="G28" s="317" t="s">
        <v>33</v>
      </c>
      <c r="H28" s="317" t="s">
        <v>33</v>
      </c>
      <c r="I28" s="317" t="s">
        <v>33</v>
      </c>
      <c r="J28" s="317" t="s">
        <v>33</v>
      </c>
      <c r="K28" s="317" t="s">
        <v>33</v>
      </c>
    </row>
    <row r="29" spans="1:11" s="129" customFormat="1" ht="17.25" customHeight="1" outlineLevel="1" x14ac:dyDescent="0.25">
      <c r="A29" s="13" t="s">
        <v>619</v>
      </c>
      <c r="B29" s="210" t="s">
        <v>1334</v>
      </c>
      <c r="C29" s="201" t="s">
        <v>1341</v>
      </c>
      <c r="D29" s="335">
        <v>2024</v>
      </c>
      <c r="E29" s="335">
        <v>2024</v>
      </c>
      <c r="F29" s="317" t="s">
        <v>33</v>
      </c>
      <c r="G29" s="317" t="s">
        <v>33</v>
      </c>
      <c r="H29" s="317" t="s">
        <v>33</v>
      </c>
      <c r="I29" s="317" t="s">
        <v>33</v>
      </c>
      <c r="J29" s="317" t="s">
        <v>33</v>
      </c>
      <c r="K29" s="317" t="s">
        <v>33</v>
      </c>
    </row>
    <row r="30" spans="1:11" s="129" customFormat="1" outlineLevel="1" x14ac:dyDescent="0.25">
      <c r="A30" s="13" t="s">
        <v>620</v>
      </c>
      <c r="B30" s="210" t="s">
        <v>621</v>
      </c>
      <c r="C30" s="201" t="s">
        <v>644</v>
      </c>
      <c r="D30" s="195">
        <v>2025</v>
      </c>
      <c r="E30" s="195">
        <v>2025</v>
      </c>
      <c r="F30" s="317" t="s">
        <v>33</v>
      </c>
      <c r="G30" s="317" t="s">
        <v>33</v>
      </c>
      <c r="H30" s="317" t="s">
        <v>33</v>
      </c>
      <c r="I30" s="317" t="s">
        <v>33</v>
      </c>
      <c r="J30" s="317" t="s">
        <v>33</v>
      </c>
      <c r="K30" s="317" t="s">
        <v>33</v>
      </c>
    </row>
    <row r="31" spans="1:11" s="129" customFormat="1" outlineLevel="1" x14ac:dyDescent="0.25">
      <c r="A31" s="13" t="s">
        <v>1339</v>
      </c>
      <c r="B31" s="210" t="s">
        <v>621</v>
      </c>
      <c r="C31" s="201" t="s">
        <v>645</v>
      </c>
      <c r="D31" s="195">
        <v>2026</v>
      </c>
      <c r="E31" s="195">
        <v>2026</v>
      </c>
      <c r="F31" s="317" t="s">
        <v>33</v>
      </c>
      <c r="G31" s="317" t="s">
        <v>33</v>
      </c>
      <c r="H31" s="317" t="s">
        <v>33</v>
      </c>
      <c r="I31" s="317" t="s">
        <v>33</v>
      </c>
      <c r="J31" s="317" t="s">
        <v>33</v>
      </c>
      <c r="K31" s="317" t="s">
        <v>33</v>
      </c>
    </row>
    <row r="32" spans="1:11" s="178" customFormat="1" x14ac:dyDescent="0.25">
      <c r="A32" s="18" t="s">
        <v>466</v>
      </c>
      <c r="B32" s="168" t="s">
        <v>467</v>
      </c>
      <c r="C32" s="176"/>
      <c r="D32" s="176"/>
      <c r="E32" s="177"/>
      <c r="F32" s="333" t="s">
        <v>33</v>
      </c>
      <c r="G32" s="333" t="s">
        <v>33</v>
      </c>
      <c r="H32" s="333" t="s">
        <v>33</v>
      </c>
      <c r="I32" s="333" t="s">
        <v>33</v>
      </c>
      <c r="J32" s="333" t="s">
        <v>33</v>
      </c>
      <c r="K32" s="333" t="s">
        <v>33</v>
      </c>
    </row>
    <row r="33" spans="1:14" s="189" customFormat="1" x14ac:dyDescent="0.25">
      <c r="A33" s="187" t="s">
        <v>468</v>
      </c>
      <c r="B33" s="237" t="s">
        <v>623</v>
      </c>
      <c r="C33" s="201" t="s">
        <v>1338</v>
      </c>
      <c r="D33" s="195">
        <v>2024</v>
      </c>
      <c r="E33" s="195">
        <v>2024</v>
      </c>
      <c r="F33" s="317" t="s">
        <v>33</v>
      </c>
      <c r="G33" s="317" t="s">
        <v>33</v>
      </c>
      <c r="H33" s="317" t="s">
        <v>33</v>
      </c>
      <c r="I33" s="317" t="s">
        <v>33</v>
      </c>
      <c r="J33" s="317" t="s">
        <v>33</v>
      </c>
      <c r="K33" s="317" t="s">
        <v>33</v>
      </c>
    </row>
    <row r="34" spans="1:14" s="189" customFormat="1" x14ac:dyDescent="0.25">
      <c r="A34" s="187" t="s">
        <v>622</v>
      </c>
      <c r="B34" s="237" t="s">
        <v>1337</v>
      </c>
      <c r="C34" s="201" t="s">
        <v>1342</v>
      </c>
      <c r="D34" s="195">
        <v>2024</v>
      </c>
      <c r="E34" s="195">
        <v>2024</v>
      </c>
      <c r="F34" s="317" t="s">
        <v>33</v>
      </c>
      <c r="G34" s="317" t="s">
        <v>33</v>
      </c>
      <c r="H34" s="317" t="s">
        <v>33</v>
      </c>
      <c r="I34" s="317" t="s">
        <v>33</v>
      </c>
      <c r="J34" s="317" t="s">
        <v>33</v>
      </c>
      <c r="K34" s="317" t="s">
        <v>33</v>
      </c>
    </row>
    <row r="35" spans="1:14" s="189" customFormat="1" x14ac:dyDescent="0.25">
      <c r="A35" s="187" t="s">
        <v>1335</v>
      </c>
      <c r="B35" s="237" t="s">
        <v>624</v>
      </c>
      <c r="C35" s="201" t="s">
        <v>646</v>
      </c>
      <c r="D35" s="195">
        <v>2025</v>
      </c>
      <c r="E35" s="195">
        <v>2025</v>
      </c>
      <c r="F35" s="317" t="s">
        <v>33</v>
      </c>
      <c r="G35" s="317" t="s">
        <v>33</v>
      </c>
      <c r="H35" s="317" t="s">
        <v>33</v>
      </c>
      <c r="I35" s="317" t="s">
        <v>33</v>
      </c>
      <c r="J35" s="317" t="s">
        <v>33</v>
      </c>
      <c r="K35" s="317" t="s">
        <v>33</v>
      </c>
    </row>
    <row r="37" spans="1:14" x14ac:dyDescent="0.25">
      <c r="J37"/>
      <c r="K37" s="35"/>
      <c r="N37" s="35"/>
    </row>
    <row r="38" spans="1:14" x14ac:dyDescent="0.25">
      <c r="M38" s="35"/>
    </row>
    <row r="39" spans="1:14" ht="18.75" x14ac:dyDescent="0.25">
      <c r="B39" s="170" t="s">
        <v>52</v>
      </c>
      <c r="C39" s="171"/>
      <c r="D39" s="171"/>
      <c r="E39" s="171" t="s">
        <v>1325</v>
      </c>
      <c r="M39" s="35"/>
    </row>
  </sheetData>
  <mergeCells count="13">
    <mergeCell ref="A1:K1"/>
    <mergeCell ref="A3:K3"/>
    <mergeCell ref="A4:K4"/>
    <mergeCell ref="A6:K6"/>
    <mergeCell ref="A8:A9"/>
    <mergeCell ref="I8:I9"/>
    <mergeCell ref="J8:K8"/>
    <mergeCell ref="B8:B9"/>
    <mergeCell ref="C8:C9"/>
    <mergeCell ref="D8:D9"/>
    <mergeCell ref="E8:E9"/>
    <mergeCell ref="F8:F9"/>
    <mergeCell ref="G8:H8"/>
  </mergeCells>
  <pageMargins left="0.31496062992125984" right="0.11811023622047245" top="0.35433070866141736" bottom="0.35433070866141736" header="0.11811023622047245" footer="0.11811023622047245"/>
  <pageSetup paperSize="8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N50"/>
  <sheetViews>
    <sheetView topLeftCell="A10" zoomScale="70" zoomScaleNormal="70" workbookViewId="0">
      <selection activeCell="AB33" sqref="AB33"/>
    </sheetView>
  </sheetViews>
  <sheetFormatPr defaultColWidth="8.85546875" defaultRowHeight="15.75" outlineLevelRow="1" x14ac:dyDescent="0.25"/>
  <cols>
    <col min="1" max="1" width="10" style="14" customWidth="1"/>
    <col min="2" max="2" width="75.42578125" customWidth="1"/>
    <col min="3" max="3" width="11.85546875" customWidth="1"/>
    <col min="4" max="4" width="14.85546875" customWidth="1"/>
    <col min="5" max="5" width="19.85546875" style="33" customWidth="1"/>
    <col min="6" max="6" width="11.140625" style="33" customWidth="1"/>
    <col min="7" max="7" width="7.42578125" customWidth="1"/>
    <col min="8" max="8" width="7.7109375" bestFit="1" customWidth="1"/>
    <col min="9" max="9" width="19.42578125" bestFit="1" customWidth="1"/>
    <col min="10" max="10" width="11.85546875" customWidth="1"/>
    <col min="11" max="11" width="11.28515625" style="35" customWidth="1"/>
    <col min="12" max="12" width="18.140625" customWidth="1"/>
    <col min="13" max="13" width="10.85546875" customWidth="1"/>
    <col min="14" max="14" width="15.28515625" customWidth="1"/>
    <col min="15" max="15" width="28.7109375" customWidth="1"/>
    <col min="16" max="16" width="17.85546875" customWidth="1"/>
    <col min="17" max="17" width="8.5703125" bestFit="1" customWidth="1"/>
    <col min="18" max="18" width="8.42578125" bestFit="1" customWidth="1"/>
    <col min="19" max="19" width="8.5703125" bestFit="1" customWidth="1"/>
    <col min="20" max="20" width="9.140625" customWidth="1"/>
    <col min="21" max="21" width="8.5703125" bestFit="1" customWidth="1"/>
    <col min="22" max="22" width="8.42578125" bestFit="1" customWidth="1"/>
    <col min="23" max="24" width="6.7109375" bestFit="1" customWidth="1"/>
    <col min="25" max="26" width="8.42578125" bestFit="1" customWidth="1"/>
    <col min="27" max="27" width="6.7109375" bestFit="1" customWidth="1"/>
    <col min="28" max="28" width="9.42578125" customWidth="1"/>
  </cols>
  <sheetData>
    <row r="1" spans="1:40" s="86" customFormat="1" ht="16.5" x14ac:dyDescent="0.25">
      <c r="A1" s="717" t="s">
        <v>420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153"/>
      <c r="X1" s="153"/>
      <c r="Y1" s="153"/>
      <c r="Z1" s="153"/>
      <c r="AA1" s="153"/>
      <c r="AB1" s="153"/>
      <c r="AC1" s="138"/>
      <c r="AD1" s="138"/>
    </row>
    <row r="2" spans="1:40" s="86" customFormat="1" ht="15" x14ac:dyDescent="0.25">
      <c r="AC2" s="154"/>
      <c r="AD2" s="138"/>
    </row>
    <row r="3" spans="1:40" s="86" customFormat="1" x14ac:dyDescent="0.25">
      <c r="A3" s="610" t="s">
        <v>145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4"/>
      <c r="X3" s="4"/>
      <c r="Y3" s="4"/>
      <c r="Z3" s="4"/>
      <c r="AA3" s="4"/>
      <c r="AB3" s="4"/>
      <c r="AC3" s="154"/>
      <c r="AD3" s="138"/>
    </row>
    <row r="4" spans="1:40" s="86" customFormat="1" x14ac:dyDescent="0.25">
      <c r="A4" s="605" t="s">
        <v>480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99"/>
      <c r="X4" s="99"/>
      <c r="Y4" s="99"/>
      <c r="Z4" s="99"/>
      <c r="AA4" s="99"/>
      <c r="AB4" s="99"/>
      <c r="AC4" s="154"/>
      <c r="AD4" s="138"/>
    </row>
    <row r="5" spans="1:40" s="86" customFormat="1" x14ac:dyDescent="0.25">
      <c r="A5" s="99"/>
      <c r="B5" s="99"/>
      <c r="C5" s="99"/>
      <c r="D5" s="99"/>
      <c r="E5" s="99"/>
      <c r="F5" s="99"/>
      <c r="G5" s="99"/>
      <c r="H5" s="99"/>
      <c r="I5" s="99"/>
      <c r="J5" s="305"/>
      <c r="K5" s="99"/>
      <c r="L5" s="99"/>
      <c r="M5" s="99"/>
      <c r="N5" s="338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154"/>
      <c r="AD5" s="138"/>
    </row>
    <row r="6" spans="1:40" s="86" customFormat="1" x14ac:dyDescent="0.25">
      <c r="A6" s="600" t="s">
        <v>1375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98"/>
      <c r="X6" s="98"/>
      <c r="Y6" s="98"/>
      <c r="Z6" s="98"/>
      <c r="AA6" s="98"/>
      <c r="AB6" s="98"/>
      <c r="AC6" s="154"/>
      <c r="AD6" s="138"/>
    </row>
    <row r="7" spans="1:40" s="137" customFormat="1" ht="15" x14ac:dyDescent="0.25">
      <c r="A7" s="718"/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AC7" s="138"/>
      <c r="AD7" s="138"/>
      <c r="AE7" s="86"/>
      <c r="AF7" s="86"/>
      <c r="AG7" s="86"/>
      <c r="AH7" s="86"/>
      <c r="AI7" s="86"/>
      <c r="AJ7" s="86"/>
      <c r="AK7" s="86"/>
      <c r="AL7" s="86"/>
      <c r="AM7" s="86"/>
      <c r="AN7" s="86"/>
    </row>
    <row r="8" spans="1:40" s="137" customFormat="1" ht="15" x14ac:dyDescent="0.25">
      <c r="A8" s="699" t="s">
        <v>3</v>
      </c>
      <c r="B8" s="699" t="s">
        <v>4</v>
      </c>
      <c r="C8" s="699" t="s">
        <v>350</v>
      </c>
      <c r="D8" s="715" t="s">
        <v>85</v>
      </c>
      <c r="E8" s="715" t="s">
        <v>421</v>
      </c>
      <c r="F8" s="719" t="s">
        <v>422</v>
      </c>
      <c r="G8" s="719"/>
      <c r="H8" s="719"/>
      <c r="I8" s="719"/>
      <c r="J8" s="719"/>
      <c r="K8" s="719"/>
      <c r="L8" s="715" t="s">
        <v>423</v>
      </c>
      <c r="M8" s="715" t="s">
        <v>424</v>
      </c>
      <c r="N8" s="715"/>
      <c r="O8" s="699" t="s">
        <v>425</v>
      </c>
      <c r="P8" s="699" t="s">
        <v>426</v>
      </c>
      <c r="Q8" s="702" t="s">
        <v>427</v>
      </c>
      <c r="R8" s="702"/>
      <c r="S8" s="702"/>
      <c r="T8" s="702"/>
      <c r="U8" s="702"/>
      <c r="V8" s="702"/>
      <c r="W8" s="702"/>
      <c r="X8" s="702"/>
      <c r="Y8" s="702"/>
      <c r="Z8" s="702"/>
      <c r="AA8" s="702"/>
      <c r="AB8" s="702"/>
      <c r="AC8" s="138"/>
      <c r="AD8" s="138"/>
      <c r="AE8" s="86"/>
      <c r="AF8" s="86"/>
      <c r="AG8" s="86"/>
      <c r="AH8" s="86"/>
      <c r="AI8" s="86"/>
      <c r="AJ8" s="86"/>
      <c r="AK8" s="86"/>
      <c r="AL8" s="86"/>
      <c r="AM8" s="86"/>
      <c r="AN8" s="86"/>
    </row>
    <row r="9" spans="1:40" s="137" customFormat="1" ht="39" customHeight="1" x14ac:dyDescent="0.25">
      <c r="A9" s="699"/>
      <c r="B9" s="699"/>
      <c r="C9" s="699"/>
      <c r="D9" s="715"/>
      <c r="E9" s="715"/>
      <c r="F9" s="719"/>
      <c r="G9" s="719"/>
      <c r="H9" s="719"/>
      <c r="I9" s="719"/>
      <c r="J9" s="719"/>
      <c r="K9" s="719"/>
      <c r="L9" s="715"/>
      <c r="M9" s="715"/>
      <c r="N9" s="715"/>
      <c r="O9" s="699"/>
      <c r="P9" s="699"/>
      <c r="Q9" s="716" t="s">
        <v>579</v>
      </c>
      <c r="R9" s="716"/>
      <c r="S9" s="716" t="s">
        <v>428</v>
      </c>
      <c r="T9" s="716"/>
      <c r="U9" s="716" t="s">
        <v>429</v>
      </c>
      <c r="V9" s="716"/>
      <c r="W9" s="716" t="s">
        <v>430</v>
      </c>
      <c r="X9" s="716"/>
      <c r="Y9" s="716" t="s">
        <v>431</v>
      </c>
      <c r="Z9" s="716"/>
      <c r="AA9" s="716" t="s">
        <v>577</v>
      </c>
      <c r="AB9" s="716"/>
      <c r="AC9" s="138"/>
      <c r="AD9" s="138"/>
      <c r="AE9" s="86"/>
      <c r="AF9" s="86"/>
      <c r="AG9" s="86"/>
      <c r="AH9" s="86"/>
      <c r="AI9" s="86"/>
      <c r="AJ9" s="86"/>
      <c r="AK9" s="86"/>
      <c r="AL9" s="86"/>
      <c r="AM9" s="86"/>
      <c r="AN9" s="86"/>
    </row>
    <row r="10" spans="1:40" s="137" customFormat="1" ht="118.5" x14ac:dyDescent="0.25">
      <c r="A10" s="699"/>
      <c r="B10" s="699"/>
      <c r="C10" s="699"/>
      <c r="D10" s="715"/>
      <c r="E10" s="715"/>
      <c r="F10" s="238" t="s">
        <v>136</v>
      </c>
      <c r="G10" s="238" t="s">
        <v>137</v>
      </c>
      <c r="H10" s="238" t="s">
        <v>432</v>
      </c>
      <c r="I10" s="239" t="s">
        <v>138</v>
      </c>
      <c r="J10" s="239" t="s">
        <v>139</v>
      </c>
      <c r="K10" s="238" t="s">
        <v>140</v>
      </c>
      <c r="L10" s="715"/>
      <c r="M10" s="142" t="s">
        <v>433</v>
      </c>
      <c r="N10" s="142" t="s">
        <v>434</v>
      </c>
      <c r="O10" s="699"/>
      <c r="P10" s="699"/>
      <c r="Q10" s="155" t="s">
        <v>435</v>
      </c>
      <c r="R10" s="155" t="s">
        <v>436</v>
      </c>
      <c r="S10" s="155" t="s">
        <v>435</v>
      </c>
      <c r="T10" s="155" t="s">
        <v>436</v>
      </c>
      <c r="U10" s="155" t="s">
        <v>437</v>
      </c>
      <c r="V10" s="155" t="s">
        <v>438</v>
      </c>
      <c r="W10" s="155" t="s">
        <v>435</v>
      </c>
      <c r="X10" s="155" t="s">
        <v>436</v>
      </c>
      <c r="Y10" s="155" t="s">
        <v>435</v>
      </c>
      <c r="Z10" s="155" t="s">
        <v>436</v>
      </c>
      <c r="AA10" s="155" t="s">
        <v>435</v>
      </c>
      <c r="AB10" s="155" t="s">
        <v>436</v>
      </c>
      <c r="AC10" s="138"/>
      <c r="AD10" s="138"/>
      <c r="AE10" s="86"/>
      <c r="AF10" s="86"/>
      <c r="AG10" s="86"/>
      <c r="AH10" s="86"/>
      <c r="AI10" s="86"/>
      <c r="AJ10" s="86"/>
      <c r="AK10" s="86"/>
      <c r="AL10" s="86"/>
      <c r="AM10" s="86"/>
      <c r="AN10" s="86"/>
    </row>
    <row r="11" spans="1:40" s="137" customFormat="1" ht="15" x14ac:dyDescent="0.25">
      <c r="A11" s="63">
        <v>1</v>
      </c>
      <c r="B11" s="63">
        <v>2</v>
      </c>
      <c r="C11" s="63">
        <v>3</v>
      </c>
      <c r="D11" s="63">
        <v>4</v>
      </c>
      <c r="E11" s="63">
        <v>5</v>
      </c>
      <c r="F11" s="240">
        <v>6</v>
      </c>
      <c r="G11" s="240">
        <v>7</v>
      </c>
      <c r="H11" s="240">
        <v>8</v>
      </c>
      <c r="I11" s="240">
        <v>9</v>
      </c>
      <c r="J11" s="240"/>
      <c r="K11" s="240">
        <v>10</v>
      </c>
      <c r="L11" s="63">
        <v>11</v>
      </c>
      <c r="M11" s="63">
        <v>12</v>
      </c>
      <c r="N11" s="63">
        <v>13</v>
      </c>
      <c r="O11" s="63">
        <v>14</v>
      </c>
      <c r="P11" s="63">
        <v>15</v>
      </c>
      <c r="Q11" s="156" t="s">
        <v>439</v>
      </c>
      <c r="R11" s="156" t="s">
        <v>440</v>
      </c>
      <c r="S11" s="156" t="s">
        <v>441</v>
      </c>
      <c r="T11" s="156" t="s">
        <v>442</v>
      </c>
      <c r="U11" s="156" t="s">
        <v>443</v>
      </c>
      <c r="V11" s="156" t="s">
        <v>444</v>
      </c>
      <c r="W11" s="156" t="s">
        <v>445</v>
      </c>
      <c r="X11" s="156" t="s">
        <v>446</v>
      </c>
      <c r="Y11" s="156" t="s">
        <v>447</v>
      </c>
      <c r="Z11" s="156" t="s">
        <v>448</v>
      </c>
      <c r="AA11" s="156" t="s">
        <v>449</v>
      </c>
      <c r="AB11" s="156" t="s">
        <v>450</v>
      </c>
      <c r="AC11" s="138"/>
      <c r="AD11" s="138"/>
      <c r="AE11" s="86"/>
      <c r="AF11" s="86"/>
      <c r="AG11" s="86"/>
      <c r="AH11" s="86"/>
      <c r="AI11" s="86"/>
      <c r="AJ11" s="86"/>
      <c r="AK11" s="86"/>
      <c r="AL11" s="86"/>
      <c r="AM11" s="86"/>
      <c r="AN11" s="86"/>
    </row>
    <row r="12" spans="1:40" s="120" customFormat="1" x14ac:dyDescent="0.25">
      <c r="A12" s="118" t="s">
        <v>31</v>
      </c>
      <c r="B12" s="38" t="s">
        <v>32</v>
      </c>
      <c r="C12" s="119" t="str">
        <f>C13</f>
        <v>нд</v>
      </c>
      <c r="D12" s="119">
        <f>D13</f>
        <v>87.027780051064866</v>
      </c>
      <c r="E12" s="119" t="str">
        <f t="shared" ref="E12:N12" si="0">E13</f>
        <v>нд</v>
      </c>
      <c r="F12" s="119">
        <f t="shared" si="0"/>
        <v>87.027780051064866</v>
      </c>
      <c r="G12" s="119" t="str">
        <f t="shared" si="0"/>
        <v>нд</v>
      </c>
      <c r="H12" s="119" t="str">
        <f t="shared" si="0"/>
        <v>нд</v>
      </c>
      <c r="I12" s="119">
        <f t="shared" si="0"/>
        <v>56.05781564053197</v>
      </c>
      <c r="J12" s="119">
        <f t="shared" si="0"/>
        <v>21.09394418278303</v>
      </c>
      <c r="K12" s="119">
        <f t="shared" si="0"/>
        <v>9.876020227749871</v>
      </c>
      <c r="L12" s="119">
        <f>L13</f>
        <v>72.523150042554064</v>
      </c>
      <c r="M12" s="119" t="str">
        <f t="shared" si="0"/>
        <v>нд</v>
      </c>
      <c r="N12" s="119">
        <f t="shared" si="0"/>
        <v>72.523150042554064</v>
      </c>
      <c r="O12" s="119" t="str">
        <f t="shared" ref="O12:AB12" si="1">O13</f>
        <v>нд</v>
      </c>
      <c r="P12" s="119" t="str">
        <f t="shared" si="1"/>
        <v>нд</v>
      </c>
      <c r="Q12" s="119">
        <f t="shared" si="1"/>
        <v>4.7169999999999996</v>
      </c>
      <c r="R12" s="119">
        <f t="shared" si="1"/>
        <v>5.3659999999999997</v>
      </c>
      <c r="S12" s="119">
        <f t="shared" si="1"/>
        <v>1.5669999999999999</v>
      </c>
      <c r="T12" s="119">
        <f t="shared" si="1"/>
        <v>1.5669999999999999</v>
      </c>
      <c r="U12" s="119">
        <f t="shared" si="1"/>
        <v>1.68015</v>
      </c>
      <c r="V12" s="119">
        <f t="shared" si="1"/>
        <v>1.68015</v>
      </c>
      <c r="W12" s="119" t="str">
        <f t="shared" si="1"/>
        <v>нд</v>
      </c>
      <c r="X12" s="119" t="str">
        <f t="shared" si="1"/>
        <v>нд</v>
      </c>
      <c r="Y12" s="119">
        <f t="shared" si="1"/>
        <v>6.3E-2</v>
      </c>
      <c r="Z12" s="119">
        <f t="shared" si="1"/>
        <v>0.91</v>
      </c>
      <c r="AA12" s="119" t="str">
        <f t="shared" si="1"/>
        <v>нд</v>
      </c>
      <c r="AB12" s="182">
        <f t="shared" si="1"/>
        <v>762</v>
      </c>
    </row>
    <row r="13" spans="1:40" s="123" customFormat="1" x14ac:dyDescent="0.25">
      <c r="A13" s="121" t="s">
        <v>55</v>
      </c>
      <c r="B13" s="9" t="s">
        <v>34</v>
      </c>
      <c r="C13" s="122" t="s">
        <v>33</v>
      </c>
      <c r="D13" s="122">
        <f>D14+D33</f>
        <v>87.027780051064866</v>
      </c>
      <c r="E13" s="122" t="s">
        <v>33</v>
      </c>
      <c r="F13" s="122">
        <f>F14+F33</f>
        <v>87.027780051064866</v>
      </c>
      <c r="G13" s="122" t="s">
        <v>33</v>
      </c>
      <c r="H13" s="122" t="s">
        <v>33</v>
      </c>
      <c r="I13" s="122">
        <f>I14+I33</f>
        <v>56.05781564053197</v>
      </c>
      <c r="J13" s="122">
        <f>J14+J33</f>
        <v>21.09394418278303</v>
      </c>
      <c r="K13" s="122">
        <f>K14</f>
        <v>9.876020227749871</v>
      </c>
      <c r="L13" s="122">
        <f>L14+L33</f>
        <v>72.523150042554064</v>
      </c>
      <c r="M13" s="122" t="s">
        <v>33</v>
      </c>
      <c r="N13" s="122">
        <f>N14+N33</f>
        <v>72.523150042554064</v>
      </c>
      <c r="O13" s="122" t="s">
        <v>33</v>
      </c>
      <c r="P13" s="122" t="s">
        <v>33</v>
      </c>
      <c r="Q13" s="122">
        <f>Q14</f>
        <v>4.7169999999999996</v>
      </c>
      <c r="R13" s="122">
        <f t="shared" ref="R13:AB13" si="2">R14</f>
        <v>5.3659999999999997</v>
      </c>
      <c r="S13" s="122">
        <f t="shared" si="2"/>
        <v>1.5669999999999999</v>
      </c>
      <c r="T13" s="122">
        <f t="shared" si="2"/>
        <v>1.5669999999999999</v>
      </c>
      <c r="U13" s="122">
        <f t="shared" si="2"/>
        <v>1.68015</v>
      </c>
      <c r="V13" s="122">
        <f t="shared" si="2"/>
        <v>1.68015</v>
      </c>
      <c r="W13" s="122" t="str">
        <f t="shared" si="2"/>
        <v>нд</v>
      </c>
      <c r="X13" s="122" t="str">
        <f t="shared" si="2"/>
        <v>нд</v>
      </c>
      <c r="Y13" s="122">
        <f t="shared" si="2"/>
        <v>6.3E-2</v>
      </c>
      <c r="Z13" s="122">
        <f t="shared" si="2"/>
        <v>0.91</v>
      </c>
      <c r="AA13" s="122" t="str">
        <f t="shared" si="2"/>
        <v>нд</v>
      </c>
      <c r="AB13" s="319">
        <f t="shared" si="2"/>
        <v>762</v>
      </c>
    </row>
    <row r="14" spans="1:40" s="120" customFormat="1" ht="31.5" x14ac:dyDescent="0.25">
      <c r="A14" s="118" t="s">
        <v>36</v>
      </c>
      <c r="B14" s="38" t="s">
        <v>37</v>
      </c>
      <c r="C14" s="119" t="str">
        <f>C15</f>
        <v>нд</v>
      </c>
      <c r="D14" s="119">
        <f>D15+D20+D27</f>
        <v>69.886634570281842</v>
      </c>
      <c r="E14" s="119" t="str">
        <f>E15</f>
        <v>нд</v>
      </c>
      <c r="F14" s="119">
        <f>F15+F20+F27</f>
        <v>69.886634570281842</v>
      </c>
      <c r="G14" s="119" t="str">
        <f>G15</f>
        <v>нд</v>
      </c>
      <c r="H14" s="119" t="str">
        <f>H15</f>
        <v>нд</v>
      </c>
      <c r="I14" s="119">
        <f>I15+I20+I27</f>
        <v>47.572081080531973</v>
      </c>
      <c r="J14" s="119">
        <f>J15+J27</f>
        <v>12.438533262</v>
      </c>
      <c r="K14" s="119">
        <f>K15</f>
        <v>9.876020227749871</v>
      </c>
      <c r="L14" s="119">
        <f>L15+L20+L27</f>
        <v>58.238862141901542</v>
      </c>
      <c r="M14" s="119" t="str">
        <f>M15</f>
        <v>нд</v>
      </c>
      <c r="N14" s="119">
        <f>N15+N20+N27</f>
        <v>58.238862141901542</v>
      </c>
      <c r="O14" s="119" t="str">
        <f>O15</f>
        <v>нд</v>
      </c>
      <c r="P14" s="119" t="str">
        <f>P15</f>
        <v>нд</v>
      </c>
      <c r="Q14" s="119">
        <f>Q20</f>
        <v>4.7169999999999996</v>
      </c>
      <c r="R14" s="119">
        <f t="shared" ref="R14:X14" si="3">R20</f>
        <v>5.3659999999999997</v>
      </c>
      <c r="S14" s="119">
        <f t="shared" si="3"/>
        <v>1.5669999999999999</v>
      </c>
      <c r="T14" s="119">
        <f t="shared" si="3"/>
        <v>1.5669999999999999</v>
      </c>
      <c r="U14" s="119">
        <f t="shared" ref="U14" si="4">U20</f>
        <v>1.68015</v>
      </c>
      <c r="V14" s="119">
        <f t="shared" si="3"/>
        <v>1.68015</v>
      </c>
      <c r="W14" s="119" t="str">
        <f t="shared" si="3"/>
        <v>нд</v>
      </c>
      <c r="X14" s="119" t="str">
        <f t="shared" si="3"/>
        <v>нд</v>
      </c>
      <c r="Y14" s="119">
        <f>Y15</f>
        <v>6.3E-2</v>
      </c>
      <c r="Z14" s="119">
        <f>Z15+Z20</f>
        <v>0.91</v>
      </c>
      <c r="AA14" s="119" t="str">
        <f>AA15</f>
        <v>нд</v>
      </c>
      <c r="AB14" s="182">
        <f>AB27</f>
        <v>762</v>
      </c>
    </row>
    <row r="15" spans="1:40" s="126" customFormat="1" ht="47.25" x14ac:dyDescent="0.25">
      <c r="A15" s="124" t="s">
        <v>53</v>
      </c>
      <c r="B15" s="39" t="s">
        <v>54</v>
      </c>
      <c r="C15" s="125" t="s">
        <v>33</v>
      </c>
      <c r="D15" s="125">
        <f>D16</f>
        <v>26.278597663749871</v>
      </c>
      <c r="E15" s="125" t="str">
        <f t="shared" ref="E15:N15" si="5">E16</f>
        <v>нд</v>
      </c>
      <c r="F15" s="125">
        <f t="shared" si="5"/>
        <v>26.278597663749871</v>
      </c>
      <c r="G15" s="125" t="str">
        <f t="shared" si="5"/>
        <v>нд</v>
      </c>
      <c r="H15" s="125" t="str">
        <f t="shared" si="5"/>
        <v>нд</v>
      </c>
      <c r="I15" s="125">
        <f t="shared" si="5"/>
        <v>5.5295854359999996</v>
      </c>
      <c r="J15" s="125">
        <f t="shared" si="5"/>
        <v>10.872992</v>
      </c>
      <c r="K15" s="125">
        <f t="shared" si="5"/>
        <v>9.876020227749871</v>
      </c>
      <c r="L15" s="125">
        <f>L16</f>
        <v>21.898831386458227</v>
      </c>
      <c r="M15" s="125" t="str">
        <f t="shared" si="5"/>
        <v>нд</v>
      </c>
      <c r="N15" s="125">
        <f t="shared" si="5"/>
        <v>21.898831386458227</v>
      </c>
      <c r="O15" s="125" t="str">
        <f t="shared" ref="O15:AB15" si="6">O16</f>
        <v>нд</v>
      </c>
      <c r="P15" s="125" t="str">
        <f t="shared" si="6"/>
        <v>нд</v>
      </c>
      <c r="Q15" s="125" t="str">
        <f t="shared" si="6"/>
        <v>нд</v>
      </c>
      <c r="R15" s="125" t="str">
        <f t="shared" si="6"/>
        <v>нд</v>
      </c>
      <c r="S15" s="125" t="str">
        <f t="shared" si="6"/>
        <v>нд</v>
      </c>
      <c r="T15" s="125" t="str">
        <f t="shared" si="6"/>
        <v>нд</v>
      </c>
      <c r="U15" s="125" t="str">
        <f t="shared" si="6"/>
        <v>нд</v>
      </c>
      <c r="V15" s="125" t="str">
        <f t="shared" si="6"/>
        <v>нд</v>
      </c>
      <c r="W15" s="125" t="str">
        <f t="shared" si="6"/>
        <v>нд</v>
      </c>
      <c r="X15" s="125" t="str">
        <f t="shared" si="6"/>
        <v>нд</v>
      </c>
      <c r="Y15" s="125">
        <f t="shared" si="6"/>
        <v>6.3E-2</v>
      </c>
      <c r="Z15" s="125">
        <f t="shared" si="6"/>
        <v>0.5</v>
      </c>
      <c r="AA15" s="125" t="str">
        <f t="shared" si="6"/>
        <v>нд</v>
      </c>
      <c r="AB15" s="125" t="str">
        <f t="shared" si="6"/>
        <v>нд</v>
      </c>
    </row>
    <row r="16" spans="1:40" s="129" customFormat="1" ht="21" customHeight="1" x14ac:dyDescent="0.25">
      <c r="A16" s="127" t="s">
        <v>38</v>
      </c>
      <c r="B16" s="10" t="s">
        <v>39</v>
      </c>
      <c r="C16" s="317" t="s">
        <v>33</v>
      </c>
      <c r="D16" s="128">
        <f>SUM(D17:D19)</f>
        <v>26.278597663749871</v>
      </c>
      <c r="E16" s="317" t="s">
        <v>33</v>
      </c>
      <c r="F16" s="128">
        <f t="shared" ref="F16:N16" si="7">SUM(F17:F19)</f>
        <v>26.278597663749871</v>
      </c>
      <c r="G16" s="317" t="s">
        <v>33</v>
      </c>
      <c r="H16" s="317" t="s">
        <v>33</v>
      </c>
      <c r="I16" s="128">
        <f t="shared" si="7"/>
        <v>5.5295854359999996</v>
      </c>
      <c r="J16" s="128">
        <f t="shared" si="7"/>
        <v>10.872992</v>
      </c>
      <c r="K16" s="128">
        <f t="shared" si="7"/>
        <v>9.876020227749871</v>
      </c>
      <c r="L16" s="128">
        <f>SUM(L17:L19)</f>
        <v>21.898831386458227</v>
      </c>
      <c r="M16" s="317" t="s">
        <v>33</v>
      </c>
      <c r="N16" s="128">
        <f t="shared" si="7"/>
        <v>21.898831386458227</v>
      </c>
      <c r="O16" s="317" t="s">
        <v>33</v>
      </c>
      <c r="P16" s="317" t="s">
        <v>33</v>
      </c>
      <c r="Q16" s="317" t="s">
        <v>33</v>
      </c>
      <c r="R16" s="317" t="s">
        <v>33</v>
      </c>
      <c r="S16" s="317" t="s">
        <v>33</v>
      </c>
      <c r="T16" s="317" t="s">
        <v>33</v>
      </c>
      <c r="U16" s="317" t="s">
        <v>33</v>
      </c>
      <c r="V16" s="317" t="s">
        <v>33</v>
      </c>
      <c r="W16" s="317" t="s">
        <v>33</v>
      </c>
      <c r="X16" s="317" t="s">
        <v>33</v>
      </c>
      <c r="Y16" s="128">
        <f>Y18</f>
        <v>6.3E-2</v>
      </c>
      <c r="Z16" s="128">
        <f>Z18</f>
        <v>0.5</v>
      </c>
      <c r="AA16" s="317" t="s">
        <v>33</v>
      </c>
      <c r="AB16" s="317" t="s">
        <v>33</v>
      </c>
    </row>
    <row r="17" spans="1:28" s="191" customFormat="1" ht="31.5" customHeight="1" x14ac:dyDescent="0.25">
      <c r="A17" s="13" t="s">
        <v>40</v>
      </c>
      <c r="B17" s="375" t="s">
        <v>1330</v>
      </c>
      <c r="C17" s="410" t="s">
        <v>1348</v>
      </c>
      <c r="D17" s="202">
        <f>Ф2!U20</f>
        <v>6.1815774359999995</v>
      </c>
      <c r="E17" s="720" t="s">
        <v>685</v>
      </c>
      <c r="F17" s="235">
        <f>D17</f>
        <v>6.1815774359999995</v>
      </c>
      <c r="G17" s="336" t="s">
        <v>33</v>
      </c>
      <c r="H17" s="336" t="s">
        <v>33</v>
      </c>
      <c r="I17" s="336">
        <f>Ф2!CE20</f>
        <v>1.9735854359999996</v>
      </c>
      <c r="J17" s="336">
        <f>Ф2!CF20</f>
        <v>4.207992</v>
      </c>
      <c r="K17" s="336" t="str">
        <f>Ф2!CD20</f>
        <v>нд</v>
      </c>
      <c r="L17" s="202">
        <f>D17/1.2</f>
        <v>5.1513145299999996</v>
      </c>
      <c r="M17" s="205">
        <f>Ф13!E16</f>
        <v>2023</v>
      </c>
      <c r="N17" s="202">
        <f>L17</f>
        <v>5.1513145299999996</v>
      </c>
      <c r="O17" s="709" t="str">
        <f>Лист1!D8</f>
        <v>повышение качества оказываемых услуг в сфере электроэнергетики</v>
      </c>
      <c r="P17" s="317" t="s">
        <v>33</v>
      </c>
      <c r="Q17" s="317" t="s">
        <v>33</v>
      </c>
      <c r="R17" s="317" t="s">
        <v>33</v>
      </c>
      <c r="S17" s="317" t="s">
        <v>33</v>
      </c>
      <c r="T17" s="317" t="s">
        <v>33</v>
      </c>
      <c r="U17" s="317" t="s">
        <v>33</v>
      </c>
      <c r="V17" s="317" t="s">
        <v>33</v>
      </c>
      <c r="W17" s="317" t="s">
        <v>33</v>
      </c>
      <c r="X17" s="317" t="s">
        <v>33</v>
      </c>
      <c r="Y17" s="206" t="s">
        <v>33</v>
      </c>
      <c r="Z17" s="206" t="s">
        <v>33</v>
      </c>
      <c r="AA17" s="202" t="s">
        <v>33</v>
      </c>
      <c r="AB17" s="202" t="s">
        <v>33</v>
      </c>
    </row>
    <row r="18" spans="1:28" s="191" customFormat="1" ht="21" customHeight="1" x14ac:dyDescent="0.25">
      <c r="A18" s="13" t="s">
        <v>465</v>
      </c>
      <c r="B18" s="237" t="s">
        <v>648</v>
      </c>
      <c r="C18" s="410" t="s">
        <v>637</v>
      </c>
      <c r="D18" s="202">
        <f>Ф2!U21</f>
        <v>7.2773794871282353</v>
      </c>
      <c r="E18" s="721"/>
      <c r="F18" s="235">
        <f>D18</f>
        <v>7.2773794871282353</v>
      </c>
      <c r="G18" s="336" t="s">
        <v>33</v>
      </c>
      <c r="H18" s="336" t="s">
        <v>33</v>
      </c>
      <c r="I18" s="336" t="str">
        <f>Ф2!CE21</f>
        <v>нд</v>
      </c>
      <c r="J18" s="336" t="str">
        <f>Ф2!CF21</f>
        <v>нд</v>
      </c>
      <c r="K18" s="336">
        <f>Ф2!CD21</f>
        <v>7.2773794871282353</v>
      </c>
      <c r="L18" s="202">
        <f t="shared" ref="L18:L19" si="8">D18/1.2</f>
        <v>6.0644829059401966</v>
      </c>
      <c r="M18" s="205">
        <f>Ф13!E17</f>
        <v>2025</v>
      </c>
      <c r="N18" s="202">
        <f t="shared" ref="N18:N19" si="9">L18</f>
        <v>6.0644829059401966</v>
      </c>
      <c r="O18" s="710"/>
      <c r="P18" s="317" t="s">
        <v>33</v>
      </c>
      <c r="Q18" s="317" t="s">
        <v>33</v>
      </c>
      <c r="R18" s="317" t="s">
        <v>33</v>
      </c>
      <c r="S18" s="317" t="s">
        <v>33</v>
      </c>
      <c r="T18" s="317" t="s">
        <v>33</v>
      </c>
      <c r="U18" s="317" t="s">
        <v>33</v>
      </c>
      <c r="V18" s="317" t="s">
        <v>33</v>
      </c>
      <c r="W18" s="317" t="s">
        <v>33</v>
      </c>
      <c r="X18" s="317" t="s">
        <v>33</v>
      </c>
      <c r="Y18" s="190">
        <v>6.3E-2</v>
      </c>
      <c r="Z18" s="190">
        <v>0.5</v>
      </c>
      <c r="AA18" s="202" t="s">
        <v>33</v>
      </c>
      <c r="AB18" s="202" t="s">
        <v>33</v>
      </c>
    </row>
    <row r="19" spans="1:28" s="191" customFormat="1" ht="20.25" customHeight="1" x14ac:dyDescent="0.25">
      <c r="A19" s="13" t="s">
        <v>615</v>
      </c>
      <c r="B19" s="237" t="s">
        <v>649</v>
      </c>
      <c r="C19" s="410" t="s">
        <v>638</v>
      </c>
      <c r="D19" s="202">
        <f>Ф2!U22</f>
        <v>12.819640740621635</v>
      </c>
      <c r="E19" s="722"/>
      <c r="F19" s="235">
        <f>Ф2!BM22</f>
        <v>12.819640740621635</v>
      </c>
      <c r="G19" s="336" t="s">
        <v>33</v>
      </c>
      <c r="H19" s="336" t="s">
        <v>33</v>
      </c>
      <c r="I19" s="336">
        <f>Ф2!CE22</f>
        <v>3.556</v>
      </c>
      <c r="J19" s="336">
        <f>Ф2!CF22</f>
        <v>6.665</v>
      </c>
      <c r="K19" s="336">
        <f>Ф2!CD22</f>
        <v>2.5986407406216356</v>
      </c>
      <c r="L19" s="202">
        <f t="shared" si="8"/>
        <v>10.683033950518029</v>
      </c>
      <c r="M19" s="205">
        <f>Ф13!E18</f>
        <v>2026</v>
      </c>
      <c r="N19" s="202">
        <f t="shared" si="9"/>
        <v>10.683033950518029</v>
      </c>
      <c r="O19" s="711"/>
      <c r="P19" s="317" t="s">
        <v>33</v>
      </c>
      <c r="Q19" s="317" t="s">
        <v>33</v>
      </c>
      <c r="R19" s="317" t="s">
        <v>33</v>
      </c>
      <c r="S19" s="317" t="s">
        <v>33</v>
      </c>
      <c r="T19" s="317" t="s">
        <v>33</v>
      </c>
      <c r="U19" s="317" t="s">
        <v>33</v>
      </c>
      <c r="V19" s="317" t="s">
        <v>33</v>
      </c>
      <c r="W19" s="317" t="s">
        <v>33</v>
      </c>
      <c r="X19" s="317" t="s">
        <v>33</v>
      </c>
      <c r="Y19" s="317" t="s">
        <v>33</v>
      </c>
      <c r="Z19" s="317" t="s">
        <v>33</v>
      </c>
      <c r="AA19" s="202" t="s">
        <v>33</v>
      </c>
      <c r="AB19" s="202" t="s">
        <v>33</v>
      </c>
    </row>
    <row r="20" spans="1:28" s="126" customFormat="1" ht="31.5" x14ac:dyDescent="0.25">
      <c r="A20" s="124" t="s">
        <v>41</v>
      </c>
      <c r="B20" s="39" t="s">
        <v>42</v>
      </c>
      <c r="C20" s="125" t="str">
        <f t="shared" ref="C20:H20" si="10">C21</f>
        <v>нд</v>
      </c>
      <c r="D20" s="125">
        <f t="shared" si="10"/>
        <v>21.217912598819545</v>
      </c>
      <c r="E20" s="125" t="str">
        <f t="shared" si="10"/>
        <v>нд</v>
      </c>
      <c r="F20" s="125">
        <f t="shared" si="10"/>
        <v>21.217912598819545</v>
      </c>
      <c r="G20" s="125" t="str">
        <f t="shared" si="10"/>
        <v>нд</v>
      </c>
      <c r="H20" s="125" t="str">
        <f t="shared" si="10"/>
        <v>нд</v>
      </c>
      <c r="I20" s="125">
        <f t="shared" ref="I20:M20" si="11">I21</f>
        <v>21.217912598819545</v>
      </c>
      <c r="J20" s="125" t="str">
        <f t="shared" si="11"/>
        <v>нд</v>
      </c>
      <c r="K20" s="125" t="str">
        <f t="shared" si="11"/>
        <v>нд</v>
      </c>
      <c r="L20" s="125">
        <f t="shared" si="11"/>
        <v>17.68159383234962</v>
      </c>
      <c r="M20" s="125">
        <f t="shared" si="11"/>
        <v>0.41000000000000003</v>
      </c>
      <c r="N20" s="125">
        <f>N21</f>
        <v>17.68159383234962</v>
      </c>
      <c r="O20" s="125" t="str">
        <f t="shared" ref="O20:P20" si="12">O21</f>
        <v>нд</v>
      </c>
      <c r="P20" s="125" t="str">
        <f t="shared" si="12"/>
        <v>нд</v>
      </c>
      <c r="Q20" s="125">
        <f t="shared" ref="Q20:AB20" si="13">Q21</f>
        <v>4.7169999999999996</v>
      </c>
      <c r="R20" s="125">
        <f t="shared" si="13"/>
        <v>5.3659999999999997</v>
      </c>
      <c r="S20" s="125">
        <f t="shared" si="13"/>
        <v>1.5669999999999999</v>
      </c>
      <c r="T20" s="125">
        <f t="shared" si="13"/>
        <v>1.5669999999999999</v>
      </c>
      <c r="U20" s="125">
        <f t="shared" si="13"/>
        <v>1.68015</v>
      </c>
      <c r="V20" s="125">
        <f t="shared" si="13"/>
        <v>1.68015</v>
      </c>
      <c r="W20" s="125" t="str">
        <f t="shared" si="13"/>
        <v>нд</v>
      </c>
      <c r="X20" s="125" t="str">
        <f t="shared" si="13"/>
        <v>нд</v>
      </c>
      <c r="Y20" s="125" t="str">
        <f t="shared" si="13"/>
        <v>нд</v>
      </c>
      <c r="Z20" s="125">
        <f t="shared" si="13"/>
        <v>0.41000000000000003</v>
      </c>
      <c r="AA20" s="125" t="str">
        <f t="shared" si="13"/>
        <v>нд</v>
      </c>
      <c r="AB20" s="125" t="str">
        <f t="shared" si="13"/>
        <v>нд</v>
      </c>
    </row>
    <row r="21" spans="1:28" s="129" customFormat="1" ht="23.25" customHeight="1" x14ac:dyDescent="0.25">
      <c r="A21" s="127" t="s">
        <v>49</v>
      </c>
      <c r="B21" s="10" t="s">
        <v>50</v>
      </c>
      <c r="C21" s="317" t="s">
        <v>33</v>
      </c>
      <c r="D21" s="128">
        <f>SUM(D22:D26)</f>
        <v>21.217912598819545</v>
      </c>
      <c r="E21" s="317" t="s">
        <v>33</v>
      </c>
      <c r="F21" s="128">
        <f t="shared" ref="F21:N21" si="14">SUM(F22:F26)</f>
        <v>21.217912598819545</v>
      </c>
      <c r="G21" s="317" t="s">
        <v>33</v>
      </c>
      <c r="H21" s="317" t="s">
        <v>33</v>
      </c>
      <c r="I21" s="128">
        <f t="shared" si="14"/>
        <v>21.217912598819545</v>
      </c>
      <c r="J21" s="317" t="s">
        <v>33</v>
      </c>
      <c r="K21" s="317" t="s">
        <v>33</v>
      </c>
      <c r="L21" s="190">
        <f>Ф4!DE26</f>
        <v>17.68159383234962</v>
      </c>
      <c r="M21" s="190">
        <f>Ф4!DF26</f>
        <v>0.41000000000000003</v>
      </c>
      <c r="N21" s="128">
        <f t="shared" si="14"/>
        <v>17.68159383234962</v>
      </c>
      <c r="O21" s="317" t="s">
        <v>33</v>
      </c>
      <c r="P21" s="317" t="s">
        <v>33</v>
      </c>
      <c r="Q21" s="128">
        <f>SUM(Q22:Q26)</f>
        <v>4.7169999999999996</v>
      </c>
      <c r="R21" s="128">
        <f t="shared" ref="R21:T21" si="15">SUM(R22:R26)</f>
        <v>5.3659999999999997</v>
      </c>
      <c r="S21" s="128">
        <f t="shared" si="15"/>
        <v>1.5669999999999999</v>
      </c>
      <c r="T21" s="128">
        <f t="shared" si="15"/>
        <v>1.5669999999999999</v>
      </c>
      <c r="U21" s="128">
        <f t="shared" ref="U21:V21" si="16">SUM(U22:U26)</f>
        <v>1.68015</v>
      </c>
      <c r="V21" s="128">
        <f t="shared" si="16"/>
        <v>1.68015</v>
      </c>
      <c r="W21" s="206" t="s">
        <v>33</v>
      </c>
      <c r="X21" s="206" t="s">
        <v>33</v>
      </c>
      <c r="Y21" s="206" t="s">
        <v>33</v>
      </c>
      <c r="Z21" s="128">
        <f>SUM(Z22:Z26)</f>
        <v>0.41000000000000003</v>
      </c>
      <c r="AA21" s="206" t="s">
        <v>33</v>
      </c>
      <c r="AB21" s="206" t="s">
        <v>33</v>
      </c>
    </row>
    <row r="22" spans="1:28" s="191" customFormat="1" ht="49.5" customHeight="1" x14ac:dyDescent="0.25">
      <c r="A22" s="13" t="s">
        <v>51</v>
      </c>
      <c r="B22" s="236" t="s">
        <v>650</v>
      </c>
      <c r="C22" s="410" t="s">
        <v>1329</v>
      </c>
      <c r="D22" s="202">
        <f>Ф2!U25</f>
        <v>6.4404185639999998</v>
      </c>
      <c r="E22" s="720" t="s">
        <v>685</v>
      </c>
      <c r="F22" s="235">
        <f>D22</f>
        <v>6.4404185639999998</v>
      </c>
      <c r="G22" s="336" t="s">
        <v>33</v>
      </c>
      <c r="H22" s="336" t="s">
        <v>33</v>
      </c>
      <c r="I22" s="336">
        <f>Ф2!CE25</f>
        <v>6.4404185639999998</v>
      </c>
      <c r="J22" s="336" t="str">
        <f>Ф2!CF25</f>
        <v>нд</v>
      </c>
      <c r="K22" s="336" t="str">
        <f>Ф2!CD25</f>
        <v>нд</v>
      </c>
      <c r="L22" s="202">
        <f t="shared" ref="L22:L26" si="17">D22/1.2</f>
        <v>5.3670154700000001</v>
      </c>
      <c r="M22" s="205">
        <f>Ф13!E21</f>
        <v>2023</v>
      </c>
      <c r="N22" s="202">
        <f t="shared" ref="N22:N26" si="18">L22</f>
        <v>5.3670154700000001</v>
      </c>
      <c r="O22" s="712" t="str">
        <f>Лист1!D7</f>
        <v>повышение надежности оказываемых услуг в сфере электроэнергетики</v>
      </c>
      <c r="P22" s="317" t="s">
        <v>33</v>
      </c>
      <c r="Q22" s="190">
        <v>2.6509999999999998</v>
      </c>
      <c r="R22" s="190">
        <v>3.3</v>
      </c>
      <c r="S22" s="206" t="s">
        <v>33</v>
      </c>
      <c r="T22" s="206" t="s">
        <v>33</v>
      </c>
      <c r="U22" s="206" t="s">
        <v>33</v>
      </c>
      <c r="V22" s="206" t="s">
        <v>33</v>
      </c>
      <c r="W22" s="206" t="s">
        <v>33</v>
      </c>
      <c r="X22" s="206" t="s">
        <v>33</v>
      </c>
      <c r="Y22" s="206" t="s">
        <v>33</v>
      </c>
      <c r="Z22" s="190">
        <v>0.25</v>
      </c>
      <c r="AA22" s="202" t="s">
        <v>33</v>
      </c>
      <c r="AB22" s="202" t="s">
        <v>33</v>
      </c>
    </row>
    <row r="23" spans="1:28" s="191" customFormat="1" ht="21" customHeight="1" x14ac:dyDescent="0.25">
      <c r="A23" s="13" t="s">
        <v>578</v>
      </c>
      <c r="B23" s="236" t="s">
        <v>651</v>
      </c>
      <c r="C23" s="410" t="s">
        <v>1349</v>
      </c>
      <c r="D23" s="202">
        <f>Ф2!U26</f>
        <v>1.120891957584</v>
      </c>
      <c r="E23" s="721"/>
      <c r="F23" s="235">
        <f t="shared" ref="F23:F26" si="19">D23</f>
        <v>1.120891957584</v>
      </c>
      <c r="G23" s="336" t="s">
        <v>33</v>
      </c>
      <c r="H23" s="336" t="s">
        <v>33</v>
      </c>
      <c r="I23" s="336">
        <f>Ф2!CE26</f>
        <v>1.120891957584</v>
      </c>
      <c r="J23" s="336" t="str">
        <f>Ф2!CF26</f>
        <v>нд</v>
      </c>
      <c r="K23" s="336" t="str">
        <f>Ф2!CD26</f>
        <v>нд</v>
      </c>
      <c r="L23" s="202">
        <f t="shared" si="17"/>
        <v>0.93407663131999996</v>
      </c>
      <c r="M23" s="205">
        <f>Ф13!E22</f>
        <v>2024</v>
      </c>
      <c r="N23" s="202">
        <f t="shared" si="18"/>
        <v>0.93407663131999996</v>
      </c>
      <c r="O23" s="713"/>
      <c r="P23" s="317" t="s">
        <v>33</v>
      </c>
      <c r="Q23" s="317" t="s">
        <v>33</v>
      </c>
      <c r="R23" s="317" t="s">
        <v>33</v>
      </c>
      <c r="S23" s="190">
        <v>0.74199999999999999</v>
      </c>
      <c r="T23" s="190">
        <v>0.74199999999999999</v>
      </c>
      <c r="U23" s="206" t="s">
        <v>33</v>
      </c>
      <c r="V23" s="206" t="s">
        <v>33</v>
      </c>
      <c r="W23" s="206" t="s">
        <v>33</v>
      </c>
      <c r="X23" s="206" t="s">
        <v>33</v>
      </c>
      <c r="Y23" s="206" t="s">
        <v>33</v>
      </c>
      <c r="Z23" s="206" t="s">
        <v>33</v>
      </c>
      <c r="AA23" s="204" t="s">
        <v>33</v>
      </c>
      <c r="AB23" s="202" t="s">
        <v>33</v>
      </c>
    </row>
    <row r="24" spans="1:28" s="191" customFormat="1" ht="19.5" customHeight="1" x14ac:dyDescent="0.25">
      <c r="A24" s="13" t="s">
        <v>580</v>
      </c>
      <c r="B24" s="236" t="s">
        <v>652</v>
      </c>
      <c r="C24" s="410" t="s">
        <v>1350</v>
      </c>
      <c r="D24" s="202">
        <f>Ф2!U27</f>
        <v>1.1637967555199999</v>
      </c>
      <c r="E24" s="721"/>
      <c r="F24" s="235">
        <f t="shared" si="19"/>
        <v>1.1637967555199999</v>
      </c>
      <c r="G24" s="336" t="s">
        <v>33</v>
      </c>
      <c r="H24" s="336" t="s">
        <v>33</v>
      </c>
      <c r="I24" s="336">
        <f>Ф2!CE27</f>
        <v>1.1637967555199999</v>
      </c>
      <c r="J24" s="336" t="str">
        <f>Ф2!CF27</f>
        <v>нд</v>
      </c>
      <c r="K24" s="336" t="str">
        <f>Ф2!CD27</f>
        <v>нд</v>
      </c>
      <c r="L24" s="202">
        <f t="shared" si="17"/>
        <v>0.96983062959999999</v>
      </c>
      <c r="M24" s="205">
        <f>Ф13!E23</f>
        <v>2024</v>
      </c>
      <c r="N24" s="202">
        <f t="shared" si="18"/>
        <v>0.96983062959999999</v>
      </c>
      <c r="O24" s="713"/>
      <c r="P24" s="317" t="s">
        <v>33</v>
      </c>
      <c r="Q24" s="317" t="s">
        <v>33</v>
      </c>
      <c r="R24" s="317" t="s">
        <v>33</v>
      </c>
      <c r="S24" s="190">
        <v>0.82499999999999996</v>
      </c>
      <c r="T24" s="190">
        <v>0.82499999999999996</v>
      </c>
      <c r="U24" s="206" t="s">
        <v>33</v>
      </c>
      <c r="V24" s="206" t="s">
        <v>33</v>
      </c>
      <c r="W24" s="206" t="s">
        <v>33</v>
      </c>
      <c r="X24" s="206" t="s">
        <v>33</v>
      </c>
      <c r="Y24" s="206" t="s">
        <v>33</v>
      </c>
      <c r="Z24" s="206" t="s">
        <v>33</v>
      </c>
      <c r="AA24" s="202" t="s">
        <v>33</v>
      </c>
      <c r="AB24" s="202" t="s">
        <v>33</v>
      </c>
    </row>
    <row r="25" spans="1:28" s="191" customFormat="1" ht="32.25" customHeight="1" x14ac:dyDescent="0.25">
      <c r="A25" s="13" t="s">
        <v>581</v>
      </c>
      <c r="B25" s="236" t="s">
        <v>1340</v>
      </c>
      <c r="C25" s="410" t="s">
        <v>1351</v>
      </c>
      <c r="D25" s="202">
        <f>Ф2!U28</f>
        <v>10.332479016048</v>
      </c>
      <c r="E25" s="721"/>
      <c r="F25" s="235">
        <f t="shared" si="19"/>
        <v>10.332479016048</v>
      </c>
      <c r="G25" s="336" t="s">
        <v>33</v>
      </c>
      <c r="H25" s="336" t="s">
        <v>33</v>
      </c>
      <c r="I25" s="336">
        <f>Ф2!CE28</f>
        <v>10.332479016048</v>
      </c>
      <c r="J25" s="336" t="str">
        <f>Ф2!CF28</f>
        <v>нд</v>
      </c>
      <c r="K25" s="336" t="str">
        <f>Ф2!CD28</f>
        <v>нд</v>
      </c>
      <c r="L25" s="202">
        <f t="shared" si="17"/>
        <v>8.6103991800399999</v>
      </c>
      <c r="M25" s="205">
        <f>Ф13!E24</f>
        <v>2024</v>
      </c>
      <c r="N25" s="202">
        <f t="shared" si="18"/>
        <v>8.6103991800399999</v>
      </c>
      <c r="O25" s="713"/>
      <c r="P25" s="317" t="s">
        <v>33</v>
      </c>
      <c r="Q25" s="317" t="s">
        <v>33</v>
      </c>
      <c r="R25" s="317" t="s">
        <v>33</v>
      </c>
      <c r="S25" s="317" t="s">
        <v>33</v>
      </c>
      <c r="T25" s="317" t="s">
        <v>33</v>
      </c>
      <c r="U25" s="206">
        <v>1.68015</v>
      </c>
      <c r="V25" s="206">
        <f>U25</f>
        <v>1.68015</v>
      </c>
      <c r="W25" s="206" t="s">
        <v>33</v>
      </c>
      <c r="X25" s="206" t="s">
        <v>33</v>
      </c>
      <c r="Y25" s="206" t="s">
        <v>33</v>
      </c>
      <c r="Z25" s="206" t="s">
        <v>33</v>
      </c>
      <c r="AA25" s="202" t="s">
        <v>33</v>
      </c>
      <c r="AB25" s="202" t="s">
        <v>33</v>
      </c>
    </row>
    <row r="26" spans="1:28" s="191" customFormat="1" ht="49.5" customHeight="1" x14ac:dyDescent="0.25">
      <c r="A26" s="13" t="s">
        <v>1368</v>
      </c>
      <c r="B26" s="236" t="s">
        <v>653</v>
      </c>
      <c r="C26" s="410" t="s">
        <v>640</v>
      </c>
      <c r="D26" s="202">
        <f>Ф2!U29</f>
        <v>2.1603263056675441</v>
      </c>
      <c r="E26" s="722"/>
      <c r="F26" s="235">
        <f t="shared" si="19"/>
        <v>2.1603263056675441</v>
      </c>
      <c r="G26" s="336" t="s">
        <v>33</v>
      </c>
      <c r="H26" s="336" t="s">
        <v>33</v>
      </c>
      <c r="I26" s="336">
        <f>Ф2!CE29</f>
        <v>2.1603263056675441</v>
      </c>
      <c r="J26" s="336" t="str">
        <f>Ф2!CF29</f>
        <v>нд</v>
      </c>
      <c r="K26" s="336" t="str">
        <f>Ф2!CD29</f>
        <v>нд</v>
      </c>
      <c r="L26" s="202">
        <f t="shared" si="17"/>
        <v>1.8002719213896201</v>
      </c>
      <c r="M26" s="205">
        <f>Ф13!E25</f>
        <v>2025</v>
      </c>
      <c r="N26" s="202">
        <f t="shared" si="18"/>
        <v>1.8002719213896201</v>
      </c>
      <c r="O26" s="714"/>
      <c r="P26" s="317" t="s">
        <v>33</v>
      </c>
      <c r="Q26" s="190">
        <v>2.0659999999999998</v>
      </c>
      <c r="R26" s="190">
        <v>2.0659999999999998</v>
      </c>
      <c r="S26" s="206" t="s">
        <v>33</v>
      </c>
      <c r="T26" s="206" t="s">
        <v>33</v>
      </c>
      <c r="U26" s="206" t="s">
        <v>33</v>
      </c>
      <c r="V26" s="206" t="s">
        <v>33</v>
      </c>
      <c r="W26" s="206" t="s">
        <v>33</v>
      </c>
      <c r="X26" s="206" t="s">
        <v>33</v>
      </c>
      <c r="Y26" s="206" t="s">
        <v>33</v>
      </c>
      <c r="Z26" s="190">
        <v>0.16</v>
      </c>
      <c r="AA26" s="202" t="s">
        <v>33</v>
      </c>
      <c r="AB26" s="202" t="s">
        <v>33</v>
      </c>
    </row>
    <row r="27" spans="1:28" s="126" customFormat="1" ht="31.5" x14ac:dyDescent="0.25">
      <c r="A27" s="124" t="s">
        <v>68</v>
      </c>
      <c r="B27" s="39" t="s">
        <v>69</v>
      </c>
      <c r="C27" s="125" t="str">
        <f>C28</f>
        <v>нд</v>
      </c>
      <c r="D27" s="125">
        <f>D28</f>
        <v>22.390124307712433</v>
      </c>
      <c r="E27" s="125" t="str">
        <f t="shared" ref="E27:N27" si="20">E28</f>
        <v>нд</v>
      </c>
      <c r="F27" s="125">
        <f t="shared" si="20"/>
        <v>22.390124307712433</v>
      </c>
      <c r="G27" s="125" t="str">
        <f t="shared" si="20"/>
        <v>нд</v>
      </c>
      <c r="H27" s="125" t="str">
        <f t="shared" si="20"/>
        <v>нд</v>
      </c>
      <c r="I27" s="125">
        <f t="shared" si="20"/>
        <v>20.82458304571243</v>
      </c>
      <c r="J27" s="125">
        <f t="shared" si="20"/>
        <v>1.565541262</v>
      </c>
      <c r="K27" s="125" t="str">
        <f t="shared" si="20"/>
        <v>нд</v>
      </c>
      <c r="L27" s="125">
        <f>L28</f>
        <v>18.658436923093696</v>
      </c>
      <c r="M27" s="125" t="str">
        <f t="shared" si="20"/>
        <v>нд</v>
      </c>
      <c r="N27" s="125">
        <f t="shared" si="20"/>
        <v>18.658436923093696</v>
      </c>
      <c r="O27" s="125" t="str">
        <f t="shared" ref="O27" si="21">O28</f>
        <v>нд</v>
      </c>
      <c r="P27" s="125" t="str">
        <f t="shared" ref="P27" si="22">P28</f>
        <v>нд</v>
      </c>
      <c r="Q27" s="125" t="str">
        <f t="shared" ref="Q27" si="23">Q28</f>
        <v>нд</v>
      </c>
      <c r="R27" s="125" t="str">
        <f t="shared" ref="R27" si="24">R28</f>
        <v>нд</v>
      </c>
      <c r="S27" s="125" t="str">
        <f t="shared" ref="S27" si="25">S28</f>
        <v>нд</v>
      </c>
      <c r="T27" s="125" t="str">
        <f t="shared" ref="T27" si="26">T28</f>
        <v>нд</v>
      </c>
      <c r="U27" s="125" t="str">
        <f t="shared" ref="U27" si="27">U28</f>
        <v>нд</v>
      </c>
      <c r="V27" s="125" t="str">
        <f t="shared" ref="V27" si="28">V28</f>
        <v>нд</v>
      </c>
      <c r="W27" s="125" t="str">
        <f t="shared" ref="W27" si="29">W28</f>
        <v>нд</v>
      </c>
      <c r="X27" s="125" t="str">
        <f t="shared" ref="X27" si="30">X28</f>
        <v>нд</v>
      </c>
      <c r="Y27" s="125" t="str">
        <f t="shared" ref="Y27" si="31">Y28</f>
        <v>нд</v>
      </c>
      <c r="Z27" s="125" t="str">
        <f t="shared" ref="Z27" si="32">Z28</f>
        <v>нд</v>
      </c>
      <c r="AA27" s="125" t="str">
        <f t="shared" ref="AA27" si="33">AA28</f>
        <v>нд</v>
      </c>
      <c r="AB27" s="180">
        <f t="shared" ref="AB27" si="34">AB28</f>
        <v>762</v>
      </c>
    </row>
    <row r="28" spans="1:28" s="129" customFormat="1" ht="31.5" outlineLevel="1" x14ac:dyDescent="0.25">
      <c r="A28" s="127" t="s">
        <v>70</v>
      </c>
      <c r="B28" s="10" t="s">
        <v>71</v>
      </c>
      <c r="C28" s="317" t="s">
        <v>33</v>
      </c>
      <c r="D28" s="128">
        <f>SUM(D29:D32)</f>
        <v>22.390124307712433</v>
      </c>
      <c r="E28" s="317" t="s">
        <v>33</v>
      </c>
      <c r="F28" s="128">
        <f>SUM(F29:F32)</f>
        <v>22.390124307712433</v>
      </c>
      <c r="G28" s="317" t="s">
        <v>33</v>
      </c>
      <c r="H28" s="317" t="s">
        <v>33</v>
      </c>
      <c r="I28" s="128">
        <f>SUM(I29:I32)</f>
        <v>20.82458304571243</v>
      </c>
      <c r="J28" s="128">
        <f>SUM(J29:J32)</f>
        <v>1.565541262</v>
      </c>
      <c r="K28" s="317" t="s">
        <v>33</v>
      </c>
      <c r="L28" s="128">
        <f>SUM(L29:L32)</f>
        <v>18.658436923093696</v>
      </c>
      <c r="M28" s="317" t="s">
        <v>33</v>
      </c>
      <c r="N28" s="128">
        <f>SUM(N29:N32)</f>
        <v>18.658436923093696</v>
      </c>
      <c r="O28" s="317" t="s">
        <v>33</v>
      </c>
      <c r="P28" s="317" t="s">
        <v>33</v>
      </c>
      <c r="Q28" s="317" t="s">
        <v>33</v>
      </c>
      <c r="R28" s="317" t="s">
        <v>33</v>
      </c>
      <c r="S28" s="317" t="s">
        <v>33</v>
      </c>
      <c r="T28" s="317" t="s">
        <v>33</v>
      </c>
      <c r="U28" s="317" t="s">
        <v>33</v>
      </c>
      <c r="V28" s="317" t="s">
        <v>33</v>
      </c>
      <c r="W28" s="317" t="s">
        <v>33</v>
      </c>
      <c r="X28" s="317" t="s">
        <v>33</v>
      </c>
      <c r="Y28" s="317" t="s">
        <v>33</v>
      </c>
      <c r="Z28" s="317" t="s">
        <v>33</v>
      </c>
      <c r="AA28" s="327" t="s">
        <v>33</v>
      </c>
      <c r="AB28" s="327">
        <f>SUM(AB29:AB32)</f>
        <v>762</v>
      </c>
    </row>
    <row r="29" spans="1:28" s="129" customFormat="1" ht="30" customHeight="1" outlineLevel="1" x14ac:dyDescent="0.25">
      <c r="A29" s="13" t="s">
        <v>616</v>
      </c>
      <c r="B29" s="210" t="s">
        <v>621</v>
      </c>
      <c r="C29" s="201" t="s">
        <v>641</v>
      </c>
      <c r="D29" s="202">
        <f>Ф2!U32</f>
        <v>9.6665412620000009</v>
      </c>
      <c r="E29" s="723" t="s">
        <v>686</v>
      </c>
      <c r="F29" s="235">
        <f t="shared" ref="F29:F36" si="35">D29</f>
        <v>9.6665412620000009</v>
      </c>
      <c r="G29" s="336" t="s">
        <v>33</v>
      </c>
      <c r="H29" s="336" t="s">
        <v>33</v>
      </c>
      <c r="I29" s="336">
        <f>Ф2!CE32</f>
        <v>8.1010000000000009</v>
      </c>
      <c r="J29" s="336">
        <f>Ф2!CF32</f>
        <v>1.565541262</v>
      </c>
      <c r="K29" s="336" t="str">
        <f>Ф2!CD32</f>
        <v>нд</v>
      </c>
      <c r="L29" s="202">
        <f t="shared" ref="L29:L36" si="36">D29/1.2</f>
        <v>8.0554510516666671</v>
      </c>
      <c r="M29" s="205">
        <f>Ф13!E28</f>
        <v>2022</v>
      </c>
      <c r="N29" s="202">
        <f>D29/1.2</f>
        <v>8.0554510516666671</v>
      </c>
      <c r="O29" s="706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P29" s="317" t="s">
        <v>33</v>
      </c>
      <c r="Q29" s="317" t="s">
        <v>33</v>
      </c>
      <c r="R29" s="317" t="s">
        <v>33</v>
      </c>
      <c r="S29" s="317" t="s">
        <v>33</v>
      </c>
      <c r="T29" s="317" t="s">
        <v>33</v>
      </c>
      <c r="U29" s="317" t="s">
        <v>33</v>
      </c>
      <c r="V29" s="317" t="s">
        <v>33</v>
      </c>
      <c r="W29" s="317" t="s">
        <v>33</v>
      </c>
      <c r="X29" s="317" t="s">
        <v>33</v>
      </c>
      <c r="Y29" s="317" t="s">
        <v>33</v>
      </c>
      <c r="Z29" s="317" t="s">
        <v>33</v>
      </c>
      <c r="AA29" s="226" t="s">
        <v>33</v>
      </c>
      <c r="AB29" s="226">
        <v>347</v>
      </c>
    </row>
    <row r="30" spans="1:28" s="129" customFormat="1" ht="30" customHeight="1" outlineLevel="1" x14ac:dyDescent="0.25">
      <c r="A30" s="13" t="s">
        <v>619</v>
      </c>
      <c r="B30" s="210" t="s">
        <v>1334</v>
      </c>
      <c r="C30" s="201" t="s">
        <v>1341</v>
      </c>
      <c r="D30" s="202">
        <f>Ф2!U35</f>
        <v>1.2966576000000001</v>
      </c>
      <c r="E30" s="724"/>
      <c r="F30" s="235">
        <f t="shared" si="35"/>
        <v>1.2966576000000001</v>
      </c>
      <c r="G30" s="336" t="s">
        <v>33</v>
      </c>
      <c r="H30" s="336" t="s">
        <v>33</v>
      </c>
      <c r="I30" s="235">
        <f>Ф2!CE35</f>
        <v>1.2966576000000001</v>
      </c>
      <c r="J30" s="336" t="str">
        <f>Ф2!CF33</f>
        <v>нд</v>
      </c>
      <c r="K30" s="336" t="str">
        <f>Ф2!CD35</f>
        <v>нд</v>
      </c>
      <c r="L30" s="202">
        <f t="shared" si="36"/>
        <v>1.0805480000000001</v>
      </c>
      <c r="M30" s="205">
        <f>Ф13!E29</f>
        <v>2024</v>
      </c>
      <c r="N30" s="202">
        <f>D30/1.2</f>
        <v>1.0805480000000001</v>
      </c>
      <c r="O30" s="707"/>
      <c r="P30" s="317" t="s">
        <v>33</v>
      </c>
      <c r="Q30" s="317" t="s">
        <v>33</v>
      </c>
      <c r="R30" s="317" t="s">
        <v>33</v>
      </c>
      <c r="S30" s="317" t="s">
        <v>33</v>
      </c>
      <c r="T30" s="317" t="s">
        <v>33</v>
      </c>
      <c r="U30" s="317" t="s">
        <v>33</v>
      </c>
      <c r="V30" s="317" t="s">
        <v>33</v>
      </c>
      <c r="W30" s="317" t="s">
        <v>33</v>
      </c>
      <c r="X30" s="317" t="s">
        <v>33</v>
      </c>
      <c r="Y30" s="317" t="s">
        <v>33</v>
      </c>
      <c r="Z30" s="317" t="s">
        <v>33</v>
      </c>
      <c r="AA30" s="226" t="s">
        <v>33</v>
      </c>
      <c r="AB30" s="226">
        <v>1</v>
      </c>
    </row>
    <row r="31" spans="1:28" s="129" customFormat="1" ht="30" customHeight="1" outlineLevel="1" x14ac:dyDescent="0.25">
      <c r="A31" s="13" t="s">
        <v>620</v>
      </c>
      <c r="B31" s="210" t="s">
        <v>621</v>
      </c>
      <c r="C31" s="201" t="s">
        <v>644</v>
      </c>
      <c r="D31" s="202">
        <f>Ф2!U36</f>
        <v>5.4117399936888866</v>
      </c>
      <c r="E31" s="725"/>
      <c r="F31" s="235">
        <f t="shared" si="35"/>
        <v>5.4117399936888866</v>
      </c>
      <c r="G31" s="336" t="s">
        <v>33</v>
      </c>
      <c r="H31" s="336" t="s">
        <v>33</v>
      </c>
      <c r="I31" s="235">
        <f>Ф2!CE36</f>
        <v>5.4117399936888866</v>
      </c>
      <c r="J31" s="336" t="str">
        <f>Ф2!CF34</f>
        <v>нд</v>
      </c>
      <c r="K31" s="336" t="str">
        <f>Ф2!CD36</f>
        <v>нд</v>
      </c>
      <c r="L31" s="202">
        <f t="shared" si="36"/>
        <v>4.5097833280740725</v>
      </c>
      <c r="M31" s="205">
        <f>Ф13!E30</f>
        <v>2025</v>
      </c>
      <c r="N31" s="202">
        <f t="shared" ref="N31:N32" si="37">D31/1.2</f>
        <v>4.5097833280740725</v>
      </c>
      <c r="O31" s="707"/>
      <c r="P31" s="317" t="s">
        <v>33</v>
      </c>
      <c r="Q31" s="317" t="s">
        <v>33</v>
      </c>
      <c r="R31" s="317" t="s">
        <v>33</v>
      </c>
      <c r="S31" s="317" t="s">
        <v>33</v>
      </c>
      <c r="T31" s="317" t="s">
        <v>33</v>
      </c>
      <c r="U31" s="317" t="s">
        <v>33</v>
      </c>
      <c r="V31" s="317" t="s">
        <v>33</v>
      </c>
      <c r="W31" s="317" t="s">
        <v>33</v>
      </c>
      <c r="X31" s="317" t="s">
        <v>33</v>
      </c>
      <c r="Y31" s="317" t="s">
        <v>33</v>
      </c>
      <c r="Z31" s="317" t="s">
        <v>33</v>
      </c>
      <c r="AA31" s="226" t="s">
        <v>33</v>
      </c>
      <c r="AB31" s="226">
        <v>201</v>
      </c>
    </row>
    <row r="32" spans="1:28" s="129" customFormat="1" ht="30" customHeight="1" outlineLevel="1" x14ac:dyDescent="0.25">
      <c r="A32" s="13" t="s">
        <v>1339</v>
      </c>
      <c r="B32" s="210" t="s">
        <v>621</v>
      </c>
      <c r="C32" s="201" t="s">
        <v>645</v>
      </c>
      <c r="D32" s="202">
        <f>Ф2!U37</f>
        <v>6.0151854520235437</v>
      </c>
      <c r="E32" s="726"/>
      <c r="F32" s="235">
        <f t="shared" si="35"/>
        <v>6.0151854520235437</v>
      </c>
      <c r="G32" s="336" t="s">
        <v>33</v>
      </c>
      <c r="H32" s="336" t="s">
        <v>33</v>
      </c>
      <c r="I32" s="235">
        <f>Ф2!CE37</f>
        <v>6.0151854520235437</v>
      </c>
      <c r="J32" s="336" t="str">
        <f>Ф2!CF35</f>
        <v>нд</v>
      </c>
      <c r="K32" s="336" t="str">
        <f>Ф2!CD37</f>
        <v>нд</v>
      </c>
      <c r="L32" s="202">
        <f t="shared" si="36"/>
        <v>5.0126545433529532</v>
      </c>
      <c r="M32" s="205">
        <f>Ф13!E31</f>
        <v>2026</v>
      </c>
      <c r="N32" s="202">
        <f t="shared" si="37"/>
        <v>5.0126545433529532</v>
      </c>
      <c r="O32" s="708"/>
      <c r="P32" s="317" t="s">
        <v>33</v>
      </c>
      <c r="Q32" s="317" t="s">
        <v>33</v>
      </c>
      <c r="R32" s="317" t="s">
        <v>33</v>
      </c>
      <c r="S32" s="317" t="s">
        <v>33</v>
      </c>
      <c r="T32" s="317" t="s">
        <v>33</v>
      </c>
      <c r="U32" s="317" t="s">
        <v>33</v>
      </c>
      <c r="V32" s="317" t="s">
        <v>33</v>
      </c>
      <c r="W32" s="317" t="s">
        <v>33</v>
      </c>
      <c r="X32" s="317" t="s">
        <v>33</v>
      </c>
      <c r="Y32" s="317" t="s">
        <v>33</v>
      </c>
      <c r="Z32" s="317" t="s">
        <v>33</v>
      </c>
      <c r="AA32" s="226" t="s">
        <v>33</v>
      </c>
      <c r="AB32" s="226">
        <v>213</v>
      </c>
    </row>
    <row r="33" spans="1:28" s="21" customFormat="1" x14ac:dyDescent="0.25">
      <c r="A33" s="18" t="s">
        <v>466</v>
      </c>
      <c r="B33" s="168" t="s">
        <v>467</v>
      </c>
      <c r="C33" s="119" t="s">
        <v>33</v>
      </c>
      <c r="D33" s="119">
        <f>SUM(D34:D36)</f>
        <v>17.141145480783027</v>
      </c>
      <c r="E33" s="119" t="s">
        <v>33</v>
      </c>
      <c r="F33" s="119">
        <f t="shared" ref="F33:AB33" si="38">SUM(F34:F36)</f>
        <v>17.141145480783027</v>
      </c>
      <c r="G33" s="119" t="s">
        <v>33</v>
      </c>
      <c r="H33" s="119" t="s">
        <v>33</v>
      </c>
      <c r="I33" s="119">
        <f t="shared" si="38"/>
        <v>8.4857345599999991</v>
      </c>
      <c r="J33" s="119">
        <f t="shared" si="38"/>
        <v>8.6554109207830301</v>
      </c>
      <c r="K33" s="119" t="s">
        <v>33</v>
      </c>
      <c r="L33" s="119">
        <f>SUM(L34:L36)</f>
        <v>14.284287900652526</v>
      </c>
      <c r="M33" s="119" t="s">
        <v>33</v>
      </c>
      <c r="N33" s="119">
        <f t="shared" si="38"/>
        <v>14.284287900652526</v>
      </c>
      <c r="O33" s="119" t="s">
        <v>33</v>
      </c>
      <c r="P33" s="119" t="s">
        <v>33</v>
      </c>
      <c r="Q33" s="119" t="s">
        <v>33</v>
      </c>
      <c r="R33" s="119" t="s">
        <v>33</v>
      </c>
      <c r="S33" s="119" t="s">
        <v>33</v>
      </c>
      <c r="T33" s="119" t="s">
        <v>33</v>
      </c>
      <c r="U33" s="119" t="s">
        <v>33</v>
      </c>
      <c r="V33" s="119" t="s">
        <v>33</v>
      </c>
      <c r="W33" s="119" t="s">
        <v>33</v>
      </c>
      <c r="X33" s="119" t="s">
        <v>33</v>
      </c>
      <c r="Y33" s="119" t="s">
        <v>33</v>
      </c>
      <c r="Z33" s="119" t="s">
        <v>33</v>
      </c>
      <c r="AA33" s="119" t="s">
        <v>33</v>
      </c>
      <c r="AB33" s="182">
        <f t="shared" si="38"/>
        <v>3</v>
      </c>
    </row>
    <row r="34" spans="1:28" s="189" customFormat="1" ht="44.25" customHeight="1" x14ac:dyDescent="0.25">
      <c r="A34" s="187" t="s">
        <v>468</v>
      </c>
      <c r="B34" s="399" t="s">
        <v>623</v>
      </c>
      <c r="C34" s="201" t="s">
        <v>1352</v>
      </c>
      <c r="D34" s="202">
        <f>Ф2!U39</f>
        <v>7.0610265599999993</v>
      </c>
      <c r="E34" s="727" t="s">
        <v>481</v>
      </c>
      <c r="F34" s="235">
        <f t="shared" si="35"/>
        <v>7.0610265599999993</v>
      </c>
      <c r="G34" s="336" t="s">
        <v>33</v>
      </c>
      <c r="H34" s="336" t="s">
        <v>33</v>
      </c>
      <c r="I34" s="235">
        <f>Ф2!CE39</f>
        <v>2.8530345599999993</v>
      </c>
      <c r="J34" s="336">
        <f>Ф2!CF39</f>
        <v>4.207992</v>
      </c>
      <c r="K34" s="336" t="str">
        <f>Ф2!CD39</f>
        <v>нд</v>
      </c>
      <c r="L34" s="202">
        <f t="shared" si="36"/>
        <v>5.8841887999999996</v>
      </c>
      <c r="M34" s="205">
        <f>Ф13!E33</f>
        <v>2024</v>
      </c>
      <c r="N34" s="202">
        <f>D34/1.2</f>
        <v>5.8841887999999996</v>
      </c>
      <c r="O34" s="703" t="s">
        <v>486</v>
      </c>
      <c r="P34" s="316" t="s">
        <v>33</v>
      </c>
      <c r="Q34" s="316" t="s">
        <v>33</v>
      </c>
      <c r="R34" s="316" t="s">
        <v>33</v>
      </c>
      <c r="S34" s="316" t="s">
        <v>33</v>
      </c>
      <c r="T34" s="316" t="s">
        <v>33</v>
      </c>
      <c r="U34" s="316" t="s">
        <v>33</v>
      </c>
      <c r="V34" s="316" t="s">
        <v>33</v>
      </c>
      <c r="W34" s="316" t="s">
        <v>33</v>
      </c>
      <c r="X34" s="316" t="s">
        <v>33</v>
      </c>
      <c r="Y34" s="316" t="s">
        <v>33</v>
      </c>
      <c r="Z34" s="316" t="s">
        <v>33</v>
      </c>
      <c r="AA34" s="226" t="s">
        <v>33</v>
      </c>
      <c r="AB34" s="226">
        <v>1</v>
      </c>
    </row>
    <row r="35" spans="1:28" s="189" customFormat="1" ht="44.25" customHeight="1" x14ac:dyDescent="0.25">
      <c r="A35" s="187" t="s">
        <v>622</v>
      </c>
      <c r="B35" s="237" t="s">
        <v>1337</v>
      </c>
      <c r="C35" s="201" t="s">
        <v>1353</v>
      </c>
      <c r="D35" s="202">
        <f>Ф2!U40</f>
        <v>4.0676999999999994</v>
      </c>
      <c r="E35" s="728"/>
      <c r="F35" s="235">
        <f t="shared" si="35"/>
        <v>4.0676999999999994</v>
      </c>
      <c r="G35" s="336" t="s">
        <v>33</v>
      </c>
      <c r="H35" s="336" t="s">
        <v>33</v>
      </c>
      <c r="I35" s="235">
        <f>Ф2!CE40</f>
        <v>4.0676999999999994</v>
      </c>
      <c r="J35" s="336" t="str">
        <f>Ф2!CF40</f>
        <v>нд</v>
      </c>
      <c r="K35" s="336" t="str">
        <f>Ф2!CD40</f>
        <v>нд</v>
      </c>
      <c r="L35" s="202">
        <f t="shared" si="36"/>
        <v>3.3897499999999998</v>
      </c>
      <c r="M35" s="205">
        <f>Ф13!E34</f>
        <v>2024</v>
      </c>
      <c r="N35" s="202">
        <f>D35/1.2</f>
        <v>3.3897499999999998</v>
      </c>
      <c r="O35" s="704"/>
      <c r="P35" s="316" t="s">
        <v>33</v>
      </c>
      <c r="Q35" s="316" t="s">
        <v>33</v>
      </c>
      <c r="R35" s="316" t="s">
        <v>33</v>
      </c>
      <c r="S35" s="316" t="s">
        <v>33</v>
      </c>
      <c r="T35" s="316" t="s">
        <v>33</v>
      </c>
      <c r="U35" s="316" t="s">
        <v>33</v>
      </c>
      <c r="V35" s="316" t="s">
        <v>33</v>
      </c>
      <c r="W35" s="316" t="s">
        <v>33</v>
      </c>
      <c r="X35" s="316" t="s">
        <v>33</v>
      </c>
      <c r="Y35" s="316" t="s">
        <v>33</v>
      </c>
      <c r="Z35" s="316" t="s">
        <v>33</v>
      </c>
      <c r="AA35" s="226" t="s">
        <v>33</v>
      </c>
      <c r="AB35" s="226">
        <v>1</v>
      </c>
    </row>
    <row r="36" spans="1:28" s="189" customFormat="1" ht="44.25" customHeight="1" x14ac:dyDescent="0.25">
      <c r="A36" s="187" t="s">
        <v>1335</v>
      </c>
      <c r="B36" s="399" t="s">
        <v>624</v>
      </c>
      <c r="C36" s="201" t="s">
        <v>646</v>
      </c>
      <c r="D36" s="202">
        <f>Ф2!U41</f>
        <v>6.0124189207830296</v>
      </c>
      <c r="E36" s="729"/>
      <c r="F36" s="235">
        <f t="shared" si="35"/>
        <v>6.0124189207830296</v>
      </c>
      <c r="G36" s="336" t="s">
        <v>33</v>
      </c>
      <c r="H36" s="336" t="s">
        <v>33</v>
      </c>
      <c r="I36" s="235">
        <f>Ф2!CE41</f>
        <v>1.5649999999999999</v>
      </c>
      <c r="J36" s="336">
        <f>Ф2!CF41</f>
        <v>4.4474189207830293</v>
      </c>
      <c r="K36" s="336" t="str">
        <f>Ф2!CD41</f>
        <v>нд</v>
      </c>
      <c r="L36" s="202">
        <f t="shared" si="36"/>
        <v>5.0103491006525251</v>
      </c>
      <c r="M36" s="205">
        <f>Ф13!E35</f>
        <v>2025</v>
      </c>
      <c r="N36" s="202">
        <f>D36/1.2</f>
        <v>5.0103491006525251</v>
      </c>
      <c r="O36" s="705"/>
      <c r="P36" s="316" t="s">
        <v>33</v>
      </c>
      <c r="Q36" s="316" t="s">
        <v>33</v>
      </c>
      <c r="R36" s="316" t="s">
        <v>33</v>
      </c>
      <c r="S36" s="316" t="s">
        <v>33</v>
      </c>
      <c r="T36" s="316" t="s">
        <v>33</v>
      </c>
      <c r="U36" s="316" t="s">
        <v>33</v>
      </c>
      <c r="V36" s="316" t="s">
        <v>33</v>
      </c>
      <c r="W36" s="316" t="s">
        <v>33</v>
      </c>
      <c r="X36" s="316" t="s">
        <v>33</v>
      </c>
      <c r="Y36" s="316" t="s">
        <v>33</v>
      </c>
      <c r="Z36" s="316" t="s">
        <v>33</v>
      </c>
      <c r="AA36" s="226" t="s">
        <v>33</v>
      </c>
      <c r="AB36" s="226">
        <v>1</v>
      </c>
    </row>
    <row r="38" spans="1:28" x14ac:dyDescent="0.25">
      <c r="K38"/>
      <c r="L38" s="35"/>
      <c r="O38" s="35"/>
    </row>
    <row r="39" spans="1:28" x14ac:dyDescent="0.25">
      <c r="N39" s="35"/>
    </row>
    <row r="40" spans="1:28" x14ac:dyDescent="0.25">
      <c r="N40" s="35"/>
    </row>
    <row r="41" spans="1:28" ht="18.75" x14ac:dyDescent="0.25">
      <c r="B41" s="170" t="s">
        <v>52</v>
      </c>
      <c r="C41" s="171"/>
      <c r="D41" s="171"/>
      <c r="E41" s="171" t="s">
        <v>1325</v>
      </c>
      <c r="N41" s="35"/>
    </row>
    <row r="42" spans="1:28" ht="18.75" x14ac:dyDescent="0.25">
      <c r="B42" s="170"/>
      <c r="C42" s="171"/>
      <c r="D42" s="171"/>
      <c r="E42" s="171"/>
      <c r="N42" s="35"/>
    </row>
    <row r="43" spans="1:28" ht="18.75" x14ac:dyDescent="0.25">
      <c r="B43" s="170"/>
      <c r="C43" s="171"/>
      <c r="D43" s="171"/>
      <c r="E43" s="171"/>
      <c r="N43" s="35"/>
    </row>
    <row r="44" spans="1:28" x14ac:dyDescent="0.25">
      <c r="N44" s="35"/>
    </row>
    <row r="45" spans="1:28" x14ac:dyDescent="0.25">
      <c r="N45" s="35"/>
    </row>
    <row r="47" spans="1:28" s="30" customFormat="1" x14ac:dyDescent="0.25">
      <c r="A47" s="633" t="s">
        <v>156</v>
      </c>
      <c r="B47" s="633"/>
      <c r="C47" s="633"/>
      <c r="D47" s="633"/>
      <c r="E47" s="633"/>
      <c r="F47" s="633"/>
      <c r="G47" s="633"/>
      <c r="H47" s="633"/>
      <c r="I47" s="633"/>
      <c r="J47" s="633"/>
      <c r="K47" s="633"/>
      <c r="L47" s="633"/>
    </row>
    <row r="48" spans="1:28" s="30" customFormat="1" x14ac:dyDescent="0.25">
      <c r="A48" s="616" t="s">
        <v>157</v>
      </c>
      <c r="B48" s="616"/>
      <c r="C48" s="616"/>
      <c r="D48" s="616"/>
      <c r="E48" s="616"/>
      <c r="F48" s="616"/>
      <c r="G48" s="616"/>
      <c r="H48" s="616"/>
      <c r="I48" s="616"/>
      <c r="J48" s="616"/>
      <c r="K48" s="616"/>
      <c r="L48" s="616"/>
    </row>
    <row r="49" spans="1:12" s="30" customFormat="1" x14ac:dyDescent="0.25">
      <c r="A49" s="616" t="s">
        <v>158</v>
      </c>
      <c r="B49" s="616"/>
      <c r="C49" s="616"/>
      <c r="D49" s="616"/>
      <c r="E49" s="616"/>
      <c r="F49" s="616"/>
      <c r="G49" s="616"/>
      <c r="H49" s="616"/>
      <c r="I49" s="616"/>
      <c r="J49" s="616"/>
      <c r="K49" s="616"/>
      <c r="L49" s="616"/>
    </row>
    <row r="50" spans="1:12" s="30" customFormat="1" x14ac:dyDescent="0.25">
      <c r="A50" s="616" t="s">
        <v>159</v>
      </c>
      <c r="B50" s="616"/>
      <c r="C50" s="616"/>
      <c r="D50" s="616"/>
      <c r="E50" s="616"/>
      <c r="F50" s="616"/>
      <c r="G50" s="616"/>
      <c r="H50" s="616"/>
      <c r="I50" s="616"/>
      <c r="J50" s="616"/>
      <c r="K50" s="616"/>
      <c r="L50" s="616"/>
    </row>
  </sheetData>
  <mergeCells count="34">
    <mergeCell ref="A50:L50"/>
    <mergeCell ref="A47:L47"/>
    <mergeCell ref="A48:L48"/>
    <mergeCell ref="A49:L49"/>
    <mergeCell ref="E8:E10"/>
    <mergeCell ref="F8:K9"/>
    <mergeCell ref="L8:L10"/>
    <mergeCell ref="A8:A10"/>
    <mergeCell ref="B8:B10"/>
    <mergeCell ref="C8:C10"/>
    <mergeCell ref="D8:D10"/>
    <mergeCell ref="E17:E19"/>
    <mergeCell ref="E22:E26"/>
    <mergeCell ref="E29:E32"/>
    <mergeCell ref="E34:E36"/>
    <mergeCell ref="A1:V1"/>
    <mergeCell ref="A3:V3"/>
    <mergeCell ref="A4:V4"/>
    <mergeCell ref="A6:V6"/>
    <mergeCell ref="A7:U7"/>
    <mergeCell ref="M8:N9"/>
    <mergeCell ref="Q8:AB8"/>
    <mergeCell ref="Q9:R9"/>
    <mergeCell ref="S9:T9"/>
    <mergeCell ref="U9:V9"/>
    <mergeCell ref="W9:X9"/>
    <mergeCell ref="Y9:Z9"/>
    <mergeCell ref="AA9:AB9"/>
    <mergeCell ref="O34:O36"/>
    <mergeCell ref="P8:P10"/>
    <mergeCell ref="O8:O10"/>
    <mergeCell ref="O29:O32"/>
    <mergeCell ref="O17:O19"/>
    <mergeCell ref="O22:O26"/>
  </mergeCell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W32"/>
  <sheetViews>
    <sheetView topLeftCell="A7" zoomScale="75" zoomScaleNormal="75" workbookViewId="0">
      <selection activeCell="O26" sqref="O26"/>
    </sheetView>
  </sheetViews>
  <sheetFormatPr defaultColWidth="8.85546875" defaultRowHeight="15.75" outlineLevelRow="1" x14ac:dyDescent="0.25"/>
  <cols>
    <col min="1" max="1" width="10" style="385" customWidth="1"/>
    <col min="2" max="2" width="76.5703125" style="385" customWidth="1"/>
    <col min="3" max="3" width="14.42578125" style="385" customWidth="1"/>
    <col min="4" max="4" width="9.28515625" style="385" customWidth="1"/>
    <col min="5" max="5" width="12.85546875" style="385" customWidth="1"/>
    <col min="6" max="6" width="9.28515625" style="385" customWidth="1"/>
    <col min="7" max="7" width="10.42578125" style="385" customWidth="1"/>
    <col min="8" max="8" width="14.85546875" style="385" customWidth="1"/>
    <col min="9" max="9" width="14.28515625" style="385" customWidth="1"/>
    <col min="10" max="10" width="9.28515625" style="385" customWidth="1"/>
    <col min="11" max="11" width="13.42578125" style="385" customWidth="1"/>
    <col min="12" max="13" width="9.28515625" style="385" customWidth="1"/>
    <col min="14" max="14" width="14.42578125" style="385" customWidth="1"/>
    <col min="15" max="15" width="15.28515625" style="385" customWidth="1"/>
    <col min="16" max="16" width="9.42578125" style="391" customWidth="1"/>
    <col min="17" max="17" width="15.5703125" style="391" customWidth="1"/>
    <col min="18" max="18" width="9.42578125" style="391" customWidth="1"/>
    <col min="19" max="19" width="15.28515625" style="391" customWidth="1"/>
    <col min="20" max="20" width="12.5703125" style="385" customWidth="1"/>
    <col min="21" max="21" width="12.28515625" style="385" customWidth="1"/>
    <col min="22" max="22" width="11.5703125" style="385" customWidth="1"/>
    <col min="23" max="23" width="12.28515625" style="385" customWidth="1"/>
    <col min="24" max="16384" width="8.85546875" style="385"/>
  </cols>
  <sheetData>
    <row r="1" spans="1:23" x14ac:dyDescent="0.25">
      <c r="A1" s="611" t="s">
        <v>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</row>
    <row r="2" spans="1:23" x14ac:dyDescent="0.25">
      <c r="A2" s="612" t="s">
        <v>656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57"/>
      <c r="Q3" s="357"/>
      <c r="R3" s="386"/>
      <c r="S3" s="386"/>
      <c r="T3" s="2"/>
      <c r="U3" s="2"/>
      <c r="V3" s="2"/>
      <c r="W3" s="2"/>
    </row>
    <row r="4" spans="1:23" x14ac:dyDescent="0.25">
      <c r="A4" s="610" t="s">
        <v>1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</row>
    <row r="5" spans="1:23" x14ac:dyDescent="0.25">
      <c r="A5" s="605" t="s">
        <v>2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</row>
    <row r="6" spans="1:2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40"/>
      <c r="Q6" s="340"/>
      <c r="R6" s="341"/>
      <c r="S6" s="341"/>
      <c r="T6" s="2"/>
      <c r="U6" s="2"/>
      <c r="V6" s="2"/>
      <c r="W6" s="2"/>
    </row>
    <row r="7" spans="1:23" x14ac:dyDescent="0.25">
      <c r="A7" s="610" t="s">
        <v>1328</v>
      </c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  <c r="W7" s="610"/>
    </row>
    <row r="8" spans="1:23" x14ac:dyDescent="0.25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4"/>
      <c r="Q8" s="354"/>
      <c r="R8" s="354"/>
      <c r="S8" s="354"/>
      <c r="T8" s="358"/>
      <c r="U8" s="358"/>
      <c r="V8" s="358"/>
      <c r="W8" s="358"/>
    </row>
    <row r="9" spans="1:23" ht="15.75" customHeight="1" x14ac:dyDescent="0.25">
      <c r="A9" s="52"/>
      <c r="B9" s="610" t="s">
        <v>1346</v>
      </c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52"/>
      <c r="W9" s="52"/>
    </row>
    <row r="10" spans="1:23" ht="15.75" customHeight="1" x14ac:dyDescent="0.25">
      <c r="A10" s="600" t="s">
        <v>174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</row>
    <row r="11" spans="1:23" ht="15.75" customHeight="1" x14ac:dyDescent="0.25">
      <c r="A11" s="600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</row>
    <row r="12" spans="1:23" ht="18.75" customHeight="1" x14ac:dyDescent="0.25">
      <c r="A12" s="613" t="s">
        <v>3</v>
      </c>
      <c r="B12" s="613" t="s">
        <v>4</v>
      </c>
      <c r="C12" s="613" t="s">
        <v>5</v>
      </c>
      <c r="D12" s="613" t="s">
        <v>6</v>
      </c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</row>
    <row r="13" spans="1:23" ht="69" customHeight="1" x14ac:dyDescent="0.25">
      <c r="A13" s="613"/>
      <c r="B13" s="613"/>
      <c r="C13" s="613"/>
      <c r="D13" s="613" t="s">
        <v>7</v>
      </c>
      <c r="E13" s="613"/>
      <c r="F13" s="613"/>
      <c r="G13" s="613"/>
      <c r="H13" s="613"/>
      <c r="I13" s="613"/>
      <c r="J13" s="613" t="s">
        <v>8</v>
      </c>
      <c r="K13" s="613"/>
      <c r="L13" s="613"/>
      <c r="M13" s="613"/>
      <c r="N13" s="613"/>
      <c r="O13" s="613"/>
      <c r="P13" s="609" t="s">
        <v>1319</v>
      </c>
      <c r="Q13" s="609"/>
      <c r="R13" s="609"/>
      <c r="S13" s="609"/>
      <c r="T13" s="613" t="s">
        <v>9</v>
      </c>
      <c r="U13" s="613"/>
      <c r="V13" s="613"/>
      <c r="W13" s="613"/>
    </row>
    <row r="14" spans="1:23" ht="114" customHeight="1" x14ac:dyDescent="0.25">
      <c r="A14" s="613"/>
      <c r="B14" s="613"/>
      <c r="C14" s="613"/>
      <c r="D14" s="613" t="s">
        <v>1347</v>
      </c>
      <c r="E14" s="613"/>
      <c r="F14" s="613" t="s">
        <v>11</v>
      </c>
      <c r="G14" s="613"/>
      <c r="H14" s="613" t="s">
        <v>12</v>
      </c>
      <c r="I14" s="613"/>
      <c r="J14" s="613" t="s">
        <v>13</v>
      </c>
      <c r="K14" s="613"/>
      <c r="L14" s="613" t="s">
        <v>14</v>
      </c>
      <c r="M14" s="613"/>
      <c r="N14" s="613" t="s">
        <v>15</v>
      </c>
      <c r="O14" s="613"/>
      <c r="P14" s="608" t="s">
        <v>1320</v>
      </c>
      <c r="Q14" s="608"/>
      <c r="R14" s="609" t="s">
        <v>1321</v>
      </c>
      <c r="S14" s="609"/>
      <c r="T14" s="613" t="s">
        <v>16</v>
      </c>
      <c r="U14" s="613"/>
      <c r="V14" s="613" t="s">
        <v>17</v>
      </c>
      <c r="W14" s="613"/>
    </row>
    <row r="15" spans="1:23" ht="105" x14ac:dyDescent="0.25">
      <c r="A15" s="613"/>
      <c r="B15" s="613"/>
      <c r="C15" s="613"/>
      <c r="D15" s="359" t="s">
        <v>464</v>
      </c>
      <c r="E15" s="359" t="s">
        <v>87</v>
      </c>
      <c r="F15" s="359" t="s">
        <v>464</v>
      </c>
      <c r="G15" s="359" t="s">
        <v>87</v>
      </c>
      <c r="H15" s="359" t="s">
        <v>464</v>
      </c>
      <c r="I15" s="359" t="s">
        <v>87</v>
      </c>
      <c r="J15" s="359" t="s">
        <v>464</v>
      </c>
      <c r="K15" s="359" t="s">
        <v>87</v>
      </c>
      <c r="L15" s="359" t="s">
        <v>464</v>
      </c>
      <c r="M15" s="359" t="s">
        <v>87</v>
      </c>
      <c r="N15" s="359" t="s">
        <v>464</v>
      </c>
      <c r="O15" s="359" t="s">
        <v>87</v>
      </c>
      <c r="P15" s="345" t="s">
        <v>1322</v>
      </c>
      <c r="Q15" s="345" t="s">
        <v>1323</v>
      </c>
      <c r="R15" s="346" t="s">
        <v>1322</v>
      </c>
      <c r="S15" s="346" t="s">
        <v>1323</v>
      </c>
      <c r="T15" s="359" t="s">
        <v>464</v>
      </c>
      <c r="U15" s="359" t="s">
        <v>87</v>
      </c>
      <c r="V15" s="359" t="s">
        <v>464</v>
      </c>
      <c r="W15" s="359" t="s">
        <v>87</v>
      </c>
    </row>
    <row r="16" spans="1:23" x14ac:dyDescent="0.25">
      <c r="A16" s="360">
        <v>1</v>
      </c>
      <c r="B16" s="361">
        <v>2</v>
      </c>
      <c r="C16" s="360">
        <v>3</v>
      </c>
      <c r="D16" s="362" t="s">
        <v>18</v>
      </c>
      <c r="E16" s="362" t="s">
        <v>19</v>
      </c>
      <c r="F16" s="362" t="s">
        <v>20</v>
      </c>
      <c r="G16" s="362" t="s">
        <v>21</v>
      </c>
      <c r="H16" s="362" t="s">
        <v>1344</v>
      </c>
      <c r="I16" s="362" t="s">
        <v>1345</v>
      </c>
      <c r="J16" s="362" t="s">
        <v>23</v>
      </c>
      <c r="K16" s="362" t="s">
        <v>24</v>
      </c>
      <c r="L16" s="362" t="s">
        <v>25</v>
      </c>
      <c r="M16" s="362" t="s">
        <v>26</v>
      </c>
      <c r="N16" s="362" t="s">
        <v>150</v>
      </c>
      <c r="O16" s="362" t="s">
        <v>151</v>
      </c>
      <c r="P16" s="363" t="s">
        <v>856</v>
      </c>
      <c r="Q16" s="363" t="s">
        <v>858</v>
      </c>
      <c r="R16" s="364" t="s">
        <v>860</v>
      </c>
      <c r="S16" s="364" t="s">
        <v>862</v>
      </c>
      <c r="T16" s="362" t="s">
        <v>27</v>
      </c>
      <c r="U16" s="362" t="s">
        <v>28</v>
      </c>
      <c r="V16" s="362" t="s">
        <v>29</v>
      </c>
      <c r="W16" s="362" t="s">
        <v>30</v>
      </c>
    </row>
    <row r="17" spans="1:23" s="169" customFormat="1" x14ac:dyDescent="0.25">
      <c r="A17" s="365" t="s">
        <v>31</v>
      </c>
      <c r="B17" s="366" t="s">
        <v>32</v>
      </c>
      <c r="C17" s="26" t="str">
        <f>C18</f>
        <v>нд</v>
      </c>
      <c r="D17" s="26" t="str">
        <f t="shared" ref="D17:W17" si="0">D18</f>
        <v>нд</v>
      </c>
      <c r="E17" s="26" t="str">
        <f t="shared" si="0"/>
        <v>нд</v>
      </c>
      <c r="F17" s="26" t="str">
        <f t="shared" si="0"/>
        <v>нд</v>
      </c>
      <c r="G17" s="26" t="str">
        <f t="shared" si="0"/>
        <v>нд</v>
      </c>
      <c r="H17" s="26" t="str">
        <f t="shared" si="0"/>
        <v>нд</v>
      </c>
      <c r="I17" s="26" t="str">
        <f t="shared" si="0"/>
        <v>нд</v>
      </c>
      <c r="J17" s="26">
        <f t="shared" si="0"/>
        <v>0.25</v>
      </c>
      <c r="K17" s="26">
        <f t="shared" si="0"/>
        <v>0.25</v>
      </c>
      <c r="L17" s="350">
        <f>L18</f>
        <v>0</v>
      </c>
      <c r="M17" s="350">
        <f t="shared" si="0"/>
        <v>8</v>
      </c>
      <c r="N17" s="26">
        <f t="shared" si="0"/>
        <v>3.95</v>
      </c>
      <c r="O17" s="26">
        <f t="shared" si="0"/>
        <v>3.3</v>
      </c>
      <c r="P17" s="350">
        <f>P18</f>
        <v>287</v>
      </c>
      <c r="Q17" s="350">
        <f>Q18</f>
        <v>0</v>
      </c>
      <c r="R17" s="26" t="s">
        <v>33</v>
      </c>
      <c r="S17" s="26" t="s">
        <v>33</v>
      </c>
      <c r="T17" s="26" t="str">
        <f t="shared" si="0"/>
        <v>нд</v>
      </c>
      <c r="U17" s="26" t="str">
        <f t="shared" si="0"/>
        <v>нд</v>
      </c>
      <c r="V17" s="26" t="str">
        <f t="shared" si="0"/>
        <v>нд</v>
      </c>
      <c r="W17" s="26" t="str">
        <f t="shared" si="0"/>
        <v>нд</v>
      </c>
    </row>
    <row r="18" spans="1:23" s="387" customFormat="1" x14ac:dyDescent="0.25">
      <c r="A18" s="367" t="s">
        <v>55</v>
      </c>
      <c r="B18" s="368" t="s">
        <v>34</v>
      </c>
      <c r="C18" s="27" t="str">
        <f>C19</f>
        <v>нд</v>
      </c>
      <c r="D18" s="27" t="str">
        <f t="shared" ref="D18:W18" si="1">D19</f>
        <v>нд</v>
      </c>
      <c r="E18" s="27" t="str">
        <f t="shared" si="1"/>
        <v>нд</v>
      </c>
      <c r="F18" s="27" t="str">
        <f t="shared" si="1"/>
        <v>нд</v>
      </c>
      <c r="G18" s="27" t="str">
        <f t="shared" si="1"/>
        <v>нд</v>
      </c>
      <c r="H18" s="27" t="str">
        <f t="shared" si="1"/>
        <v>нд</v>
      </c>
      <c r="I18" s="27" t="str">
        <f t="shared" si="1"/>
        <v>нд</v>
      </c>
      <c r="J18" s="27">
        <f t="shared" si="1"/>
        <v>0.25</v>
      </c>
      <c r="K18" s="27">
        <f t="shared" si="1"/>
        <v>0.25</v>
      </c>
      <c r="L18" s="351">
        <f>L19</f>
        <v>0</v>
      </c>
      <c r="M18" s="351">
        <f t="shared" si="1"/>
        <v>8</v>
      </c>
      <c r="N18" s="27">
        <f t="shared" si="1"/>
        <v>3.95</v>
      </c>
      <c r="O18" s="27">
        <f t="shared" si="1"/>
        <v>3.3</v>
      </c>
      <c r="P18" s="351">
        <f>P19</f>
        <v>287</v>
      </c>
      <c r="Q18" s="351">
        <f>Q19</f>
        <v>0</v>
      </c>
      <c r="R18" s="27" t="s">
        <v>33</v>
      </c>
      <c r="S18" s="27" t="s">
        <v>33</v>
      </c>
      <c r="T18" s="27" t="str">
        <f t="shared" si="1"/>
        <v>нд</v>
      </c>
      <c r="U18" s="27" t="str">
        <f t="shared" si="1"/>
        <v>нд</v>
      </c>
      <c r="V18" s="27" t="str">
        <f t="shared" si="1"/>
        <v>нд</v>
      </c>
      <c r="W18" s="27" t="str">
        <f t="shared" si="1"/>
        <v>нд</v>
      </c>
    </row>
    <row r="19" spans="1:23" s="169" customFormat="1" ht="28.5" x14ac:dyDescent="0.25">
      <c r="A19" s="365" t="s">
        <v>36</v>
      </c>
      <c r="B19" s="366" t="s">
        <v>37</v>
      </c>
      <c r="C19" s="26" t="s">
        <v>33</v>
      </c>
      <c r="D19" s="26" t="str">
        <f>D23</f>
        <v>нд</v>
      </c>
      <c r="E19" s="26" t="str">
        <f t="shared" ref="E19:W19" si="2">E23</f>
        <v>нд</v>
      </c>
      <c r="F19" s="26" t="str">
        <f t="shared" si="2"/>
        <v>нд</v>
      </c>
      <c r="G19" s="26" t="str">
        <f t="shared" si="2"/>
        <v>нд</v>
      </c>
      <c r="H19" s="26" t="str">
        <f t="shared" si="2"/>
        <v>нд</v>
      </c>
      <c r="I19" s="26" t="str">
        <f t="shared" si="2"/>
        <v>нд</v>
      </c>
      <c r="J19" s="26">
        <f t="shared" si="2"/>
        <v>0.25</v>
      </c>
      <c r="K19" s="26">
        <f t="shared" si="2"/>
        <v>0.25</v>
      </c>
      <c r="L19" s="350">
        <f>L20</f>
        <v>0</v>
      </c>
      <c r="M19" s="350">
        <f>M20</f>
        <v>8</v>
      </c>
      <c r="N19" s="26">
        <f t="shared" si="2"/>
        <v>3.95</v>
      </c>
      <c r="O19" s="26">
        <f t="shared" si="2"/>
        <v>3.3</v>
      </c>
      <c r="P19" s="350">
        <f>P26</f>
        <v>287</v>
      </c>
      <c r="Q19" s="350">
        <f>Q26</f>
        <v>0</v>
      </c>
      <c r="R19" s="26" t="s">
        <v>33</v>
      </c>
      <c r="S19" s="26" t="s">
        <v>33</v>
      </c>
      <c r="T19" s="26" t="str">
        <f t="shared" si="2"/>
        <v>нд</v>
      </c>
      <c r="U19" s="26" t="str">
        <f t="shared" si="2"/>
        <v>нд</v>
      </c>
      <c r="V19" s="26" t="str">
        <f t="shared" si="2"/>
        <v>нд</v>
      </c>
      <c r="W19" s="26" t="str">
        <f t="shared" si="2"/>
        <v>нд</v>
      </c>
    </row>
    <row r="20" spans="1:23" s="388" customFormat="1" ht="42.75" x14ac:dyDescent="0.25">
      <c r="A20" s="369" t="s">
        <v>53</v>
      </c>
      <c r="B20" s="370" t="s">
        <v>54</v>
      </c>
      <c r="C20" s="28" t="s">
        <v>33</v>
      </c>
      <c r="D20" s="28" t="s">
        <v>33</v>
      </c>
      <c r="E20" s="28" t="s">
        <v>33</v>
      </c>
      <c r="F20" s="28" t="s">
        <v>33</v>
      </c>
      <c r="G20" s="28" t="s">
        <v>33</v>
      </c>
      <c r="H20" s="28" t="s">
        <v>33</v>
      </c>
      <c r="I20" s="28" t="s">
        <v>33</v>
      </c>
      <c r="J20" s="28" t="s">
        <v>33</v>
      </c>
      <c r="K20" s="28" t="s">
        <v>33</v>
      </c>
      <c r="L20" s="349">
        <f>L21</f>
        <v>0</v>
      </c>
      <c r="M20" s="349">
        <f>M21</f>
        <v>8</v>
      </c>
      <c r="N20" s="28" t="s">
        <v>33</v>
      </c>
      <c r="O20" s="28" t="s">
        <v>33</v>
      </c>
      <c r="P20" s="28" t="s">
        <v>33</v>
      </c>
      <c r="Q20" s="28" t="s">
        <v>33</v>
      </c>
      <c r="R20" s="28" t="s">
        <v>33</v>
      </c>
      <c r="S20" s="28" t="s">
        <v>33</v>
      </c>
      <c r="T20" s="28" t="s">
        <v>33</v>
      </c>
      <c r="U20" s="28" t="s">
        <v>33</v>
      </c>
      <c r="V20" s="28" t="s">
        <v>33</v>
      </c>
      <c r="W20" s="28" t="s">
        <v>33</v>
      </c>
    </row>
    <row r="21" spans="1:23" s="388" customFormat="1" ht="22.5" customHeight="1" x14ac:dyDescent="0.25">
      <c r="A21" s="371" t="s">
        <v>38</v>
      </c>
      <c r="B21" s="372" t="s">
        <v>39</v>
      </c>
      <c r="C21" s="373" t="s">
        <v>33</v>
      </c>
      <c r="D21" s="374" t="s">
        <v>33</v>
      </c>
      <c r="E21" s="374" t="s">
        <v>33</v>
      </c>
      <c r="F21" s="374" t="s">
        <v>33</v>
      </c>
      <c r="G21" s="374" t="s">
        <v>33</v>
      </c>
      <c r="H21" s="374" t="s">
        <v>33</v>
      </c>
      <c r="I21" s="374" t="s">
        <v>33</v>
      </c>
      <c r="J21" s="374" t="s">
        <v>33</v>
      </c>
      <c r="K21" s="374" t="s">
        <v>33</v>
      </c>
      <c r="L21" s="382">
        <f>L22</f>
        <v>0</v>
      </c>
      <c r="M21" s="382">
        <f>M22</f>
        <v>8</v>
      </c>
      <c r="N21" s="374" t="s">
        <v>33</v>
      </c>
      <c r="O21" s="374" t="s">
        <v>33</v>
      </c>
      <c r="P21" s="374" t="s">
        <v>33</v>
      </c>
      <c r="Q21" s="374" t="s">
        <v>33</v>
      </c>
      <c r="R21" s="374" t="s">
        <v>33</v>
      </c>
      <c r="S21" s="374" t="s">
        <v>33</v>
      </c>
      <c r="T21" s="374" t="s">
        <v>33</v>
      </c>
      <c r="U21" s="374" t="s">
        <v>33</v>
      </c>
      <c r="V21" s="374" t="s">
        <v>33</v>
      </c>
      <c r="W21" s="374" t="s">
        <v>33</v>
      </c>
    </row>
    <row r="22" spans="1:23" s="388" customFormat="1" ht="30" x14ac:dyDescent="0.25">
      <c r="A22" s="375" t="s">
        <v>40</v>
      </c>
      <c r="B22" s="375" t="s">
        <v>1330</v>
      </c>
      <c r="C22" s="393" t="s">
        <v>1348</v>
      </c>
      <c r="D22" s="380" t="s">
        <v>33</v>
      </c>
      <c r="E22" s="380" t="s">
        <v>33</v>
      </c>
      <c r="F22" s="380" t="s">
        <v>33</v>
      </c>
      <c r="G22" s="380" t="s">
        <v>33</v>
      </c>
      <c r="H22" s="380" t="s">
        <v>33</v>
      </c>
      <c r="I22" s="380" t="s">
        <v>33</v>
      </c>
      <c r="J22" s="380" t="s">
        <v>33</v>
      </c>
      <c r="K22" s="380" t="s">
        <v>33</v>
      </c>
      <c r="L22" s="384">
        <v>0</v>
      </c>
      <c r="M22" s="384">
        <v>8</v>
      </c>
      <c r="N22" s="380" t="s">
        <v>33</v>
      </c>
      <c r="O22" s="380" t="s">
        <v>33</v>
      </c>
      <c r="P22" s="380" t="s">
        <v>33</v>
      </c>
      <c r="Q22" s="380" t="s">
        <v>33</v>
      </c>
      <c r="R22" s="380" t="s">
        <v>33</v>
      </c>
      <c r="S22" s="380" t="s">
        <v>33</v>
      </c>
      <c r="T22" s="380" t="s">
        <v>33</v>
      </c>
      <c r="U22" s="380" t="s">
        <v>33</v>
      </c>
      <c r="V22" s="380" t="s">
        <v>33</v>
      </c>
      <c r="W22" s="380" t="s">
        <v>33</v>
      </c>
    </row>
    <row r="23" spans="1:23" s="388" customFormat="1" ht="28.5" x14ac:dyDescent="0.25">
      <c r="A23" s="369" t="s">
        <v>41</v>
      </c>
      <c r="B23" s="370" t="s">
        <v>42</v>
      </c>
      <c r="C23" s="28" t="s">
        <v>33</v>
      </c>
      <c r="D23" s="28" t="str">
        <f t="shared" ref="D23:W24" si="3">D24</f>
        <v>нд</v>
      </c>
      <c r="E23" s="28" t="str">
        <f t="shared" si="3"/>
        <v>нд</v>
      </c>
      <c r="F23" s="28" t="str">
        <f t="shared" si="3"/>
        <v>нд</v>
      </c>
      <c r="G23" s="28" t="str">
        <f t="shared" si="3"/>
        <v>нд</v>
      </c>
      <c r="H23" s="28" t="str">
        <f t="shared" si="3"/>
        <v>нд</v>
      </c>
      <c r="I23" s="28" t="str">
        <f t="shared" si="3"/>
        <v>нд</v>
      </c>
      <c r="J23" s="28">
        <f t="shared" si="3"/>
        <v>0.25</v>
      </c>
      <c r="K23" s="199">
        <f t="shared" si="3"/>
        <v>0.25</v>
      </c>
      <c r="L23" s="28" t="str">
        <f t="shared" si="3"/>
        <v>нд</v>
      </c>
      <c r="M23" s="197" t="str">
        <f t="shared" si="3"/>
        <v>нд</v>
      </c>
      <c r="N23" s="28">
        <f t="shared" si="3"/>
        <v>3.95</v>
      </c>
      <c r="O23" s="28">
        <f t="shared" si="3"/>
        <v>3.3</v>
      </c>
      <c r="P23" s="28" t="s">
        <v>33</v>
      </c>
      <c r="Q23" s="28" t="s">
        <v>33</v>
      </c>
      <c r="R23" s="28" t="s">
        <v>33</v>
      </c>
      <c r="S23" s="28" t="s">
        <v>33</v>
      </c>
      <c r="T23" s="28" t="str">
        <f t="shared" si="3"/>
        <v>нд</v>
      </c>
      <c r="U23" s="28" t="str">
        <f t="shared" si="3"/>
        <v>нд</v>
      </c>
      <c r="V23" s="28" t="str">
        <f t="shared" si="3"/>
        <v>нд</v>
      </c>
      <c r="W23" s="28" t="str">
        <f t="shared" si="3"/>
        <v>нд</v>
      </c>
    </row>
    <row r="24" spans="1:23" x14ac:dyDescent="0.25">
      <c r="A24" s="377" t="s">
        <v>49</v>
      </c>
      <c r="B24" s="378" t="s">
        <v>50</v>
      </c>
      <c r="C24" s="374" t="s">
        <v>33</v>
      </c>
      <c r="D24" s="374" t="str">
        <f>D25</f>
        <v>нд</v>
      </c>
      <c r="E24" s="374" t="str">
        <f t="shared" si="3"/>
        <v>нд</v>
      </c>
      <c r="F24" s="374" t="str">
        <f t="shared" si="3"/>
        <v>нд</v>
      </c>
      <c r="G24" s="374" t="str">
        <f t="shared" si="3"/>
        <v>нд</v>
      </c>
      <c r="H24" s="374" t="str">
        <f t="shared" si="3"/>
        <v>нд</v>
      </c>
      <c r="I24" s="374" t="str">
        <f t="shared" si="3"/>
        <v>нд</v>
      </c>
      <c r="J24" s="374">
        <f t="shared" si="3"/>
        <v>0.25</v>
      </c>
      <c r="K24" s="374">
        <f t="shared" si="3"/>
        <v>0.25</v>
      </c>
      <c r="L24" s="374" t="str">
        <f t="shared" si="3"/>
        <v>нд</v>
      </c>
      <c r="M24" s="374" t="str">
        <f t="shared" si="3"/>
        <v>нд</v>
      </c>
      <c r="N24" s="374">
        <f t="shared" si="3"/>
        <v>3.95</v>
      </c>
      <c r="O24" s="374">
        <f t="shared" si="3"/>
        <v>3.3</v>
      </c>
      <c r="P24" s="374" t="s">
        <v>33</v>
      </c>
      <c r="Q24" s="374" t="s">
        <v>33</v>
      </c>
      <c r="R24" s="374" t="s">
        <v>33</v>
      </c>
      <c r="S24" s="374" t="s">
        <v>33</v>
      </c>
      <c r="T24" s="374" t="str">
        <f t="shared" si="3"/>
        <v>нд</v>
      </c>
      <c r="U24" s="374" t="str">
        <f t="shared" si="3"/>
        <v>нд</v>
      </c>
      <c r="V24" s="374" t="str">
        <f t="shared" si="3"/>
        <v>нд</v>
      </c>
      <c r="W24" s="374" t="str">
        <f t="shared" si="3"/>
        <v>нд</v>
      </c>
    </row>
    <row r="25" spans="1:23" s="389" customFormat="1" ht="45" x14ac:dyDescent="0.25">
      <c r="A25" s="379" t="s">
        <v>51</v>
      </c>
      <c r="B25" s="375" t="s">
        <v>650</v>
      </c>
      <c r="C25" s="376" t="s">
        <v>639</v>
      </c>
      <c r="D25" s="380" t="s">
        <v>33</v>
      </c>
      <c r="E25" s="380" t="s">
        <v>33</v>
      </c>
      <c r="F25" s="380" t="s">
        <v>33</v>
      </c>
      <c r="G25" s="380" t="s">
        <v>33</v>
      </c>
      <c r="H25" s="380" t="s">
        <v>33</v>
      </c>
      <c r="I25" s="376" t="s">
        <v>33</v>
      </c>
      <c r="J25" s="376">
        <v>0.25</v>
      </c>
      <c r="K25" s="381">
        <v>0.25</v>
      </c>
      <c r="L25" s="380" t="s">
        <v>33</v>
      </c>
      <c r="M25" s="380" t="s">
        <v>33</v>
      </c>
      <c r="N25" s="376">
        <v>3.95</v>
      </c>
      <c r="O25" s="376">
        <v>3.3</v>
      </c>
      <c r="P25" s="376" t="s">
        <v>33</v>
      </c>
      <c r="Q25" s="376" t="s">
        <v>33</v>
      </c>
      <c r="R25" s="376" t="s">
        <v>33</v>
      </c>
      <c r="S25" s="376" t="s">
        <v>33</v>
      </c>
      <c r="T25" s="376" t="s">
        <v>33</v>
      </c>
      <c r="U25" s="376" t="s">
        <v>33</v>
      </c>
      <c r="V25" s="376" t="s">
        <v>33</v>
      </c>
      <c r="W25" s="376" t="s">
        <v>33</v>
      </c>
    </row>
    <row r="26" spans="1:23" s="388" customFormat="1" ht="28.5" x14ac:dyDescent="0.25">
      <c r="A26" s="369" t="s">
        <v>68</v>
      </c>
      <c r="B26" s="370" t="s">
        <v>69</v>
      </c>
      <c r="C26" s="28" t="s">
        <v>33</v>
      </c>
      <c r="D26" s="28" t="str">
        <f>D27</f>
        <v>нд</v>
      </c>
      <c r="E26" s="28" t="str">
        <f t="shared" ref="E26:W27" si="4">E27</f>
        <v>нд</v>
      </c>
      <c r="F26" s="28" t="str">
        <f t="shared" si="4"/>
        <v>нд</v>
      </c>
      <c r="G26" s="28" t="str">
        <f t="shared" si="4"/>
        <v>нд</v>
      </c>
      <c r="H26" s="28" t="str">
        <f t="shared" si="4"/>
        <v>нд</v>
      </c>
      <c r="I26" s="28" t="str">
        <f t="shared" si="4"/>
        <v>нд</v>
      </c>
      <c r="J26" s="28" t="str">
        <f t="shared" si="4"/>
        <v>нд</v>
      </c>
      <c r="K26" s="28" t="str">
        <f t="shared" si="4"/>
        <v>нд</v>
      </c>
      <c r="L26" s="28" t="str">
        <f t="shared" si="4"/>
        <v>нд</v>
      </c>
      <c r="M26" s="28" t="str">
        <f t="shared" si="4"/>
        <v>нд</v>
      </c>
      <c r="N26" s="28" t="str">
        <f t="shared" si="4"/>
        <v>нд</v>
      </c>
      <c r="O26" s="28" t="str">
        <f t="shared" si="4"/>
        <v>нд</v>
      </c>
      <c r="P26" s="349">
        <f>P27</f>
        <v>287</v>
      </c>
      <c r="Q26" s="349">
        <f>Q27</f>
        <v>0</v>
      </c>
      <c r="R26" s="28" t="s">
        <v>33</v>
      </c>
      <c r="S26" s="28" t="s">
        <v>33</v>
      </c>
      <c r="T26" s="28" t="str">
        <f t="shared" si="4"/>
        <v>нд</v>
      </c>
      <c r="U26" s="28" t="str">
        <f t="shared" si="4"/>
        <v>нд</v>
      </c>
      <c r="V26" s="28" t="str">
        <f t="shared" si="4"/>
        <v>нд</v>
      </c>
      <c r="W26" s="28" t="str">
        <f t="shared" si="4"/>
        <v>нд</v>
      </c>
    </row>
    <row r="27" spans="1:23" ht="18.75" customHeight="1" outlineLevel="1" x14ac:dyDescent="0.25">
      <c r="A27" s="377" t="s">
        <v>70</v>
      </c>
      <c r="B27" s="378" t="s">
        <v>71</v>
      </c>
      <c r="C27" s="374" t="s">
        <v>33</v>
      </c>
      <c r="D27" s="374" t="str">
        <f>D28</f>
        <v>нд</v>
      </c>
      <c r="E27" s="374" t="str">
        <f t="shared" si="4"/>
        <v>нд</v>
      </c>
      <c r="F27" s="374" t="str">
        <f t="shared" si="4"/>
        <v>нд</v>
      </c>
      <c r="G27" s="374" t="str">
        <f t="shared" si="4"/>
        <v>нд</v>
      </c>
      <c r="H27" s="374" t="str">
        <f t="shared" si="4"/>
        <v>нд</v>
      </c>
      <c r="I27" s="374" t="str">
        <f t="shared" si="4"/>
        <v>нд</v>
      </c>
      <c r="J27" s="374" t="str">
        <f t="shared" si="4"/>
        <v>нд</v>
      </c>
      <c r="K27" s="374" t="str">
        <f t="shared" si="4"/>
        <v>нд</v>
      </c>
      <c r="L27" s="374" t="str">
        <f t="shared" si="4"/>
        <v>нд</v>
      </c>
      <c r="M27" s="374" t="str">
        <f t="shared" si="4"/>
        <v>нд</v>
      </c>
      <c r="N27" s="374" t="str">
        <f t="shared" si="4"/>
        <v>нд</v>
      </c>
      <c r="O27" s="374" t="str">
        <f t="shared" si="4"/>
        <v>нд</v>
      </c>
      <c r="P27" s="382">
        <f>P28</f>
        <v>287</v>
      </c>
      <c r="Q27" s="382">
        <f>Q28</f>
        <v>0</v>
      </c>
      <c r="R27" s="374" t="s">
        <v>33</v>
      </c>
      <c r="S27" s="374" t="s">
        <v>33</v>
      </c>
      <c r="T27" s="374" t="str">
        <f t="shared" si="4"/>
        <v>нд</v>
      </c>
      <c r="U27" s="374" t="str">
        <f t="shared" si="4"/>
        <v>нд</v>
      </c>
      <c r="V27" s="374" t="str">
        <f t="shared" si="4"/>
        <v>нд</v>
      </c>
      <c r="W27" s="374" t="str">
        <f t="shared" si="4"/>
        <v>нд</v>
      </c>
    </row>
    <row r="28" spans="1:23" outlineLevel="1" x14ac:dyDescent="0.25">
      <c r="A28" s="379" t="s">
        <v>616</v>
      </c>
      <c r="B28" s="383" t="s">
        <v>621</v>
      </c>
      <c r="C28" s="376" t="s">
        <v>642</v>
      </c>
      <c r="D28" s="376" t="s">
        <v>33</v>
      </c>
      <c r="E28" s="376" t="s">
        <v>33</v>
      </c>
      <c r="F28" s="376" t="s">
        <v>33</v>
      </c>
      <c r="G28" s="376" t="s">
        <v>33</v>
      </c>
      <c r="H28" s="376" t="s">
        <v>33</v>
      </c>
      <c r="I28" s="376" t="s">
        <v>33</v>
      </c>
      <c r="J28" s="376" t="s">
        <v>33</v>
      </c>
      <c r="K28" s="376" t="s">
        <v>33</v>
      </c>
      <c r="L28" s="376" t="s">
        <v>33</v>
      </c>
      <c r="M28" s="376" t="s">
        <v>33</v>
      </c>
      <c r="N28" s="376" t="s">
        <v>33</v>
      </c>
      <c r="O28" s="376" t="s">
        <v>33</v>
      </c>
      <c r="P28" s="384">
        <v>287</v>
      </c>
      <c r="Q28" s="384">
        <v>0</v>
      </c>
      <c r="R28" s="376" t="s">
        <v>33</v>
      </c>
      <c r="S28" s="376" t="s">
        <v>33</v>
      </c>
      <c r="T28" s="376" t="s">
        <v>33</v>
      </c>
      <c r="U28" s="376" t="s">
        <v>33</v>
      </c>
      <c r="V28" s="376" t="s">
        <v>33</v>
      </c>
      <c r="W28" s="376" t="s">
        <v>33</v>
      </c>
    </row>
    <row r="32" spans="1:23" s="2" customFormat="1" x14ac:dyDescent="0.25">
      <c r="B32" s="117" t="s">
        <v>52</v>
      </c>
      <c r="C32" s="390"/>
      <c r="D32" s="390"/>
      <c r="E32" s="390" t="s">
        <v>1325</v>
      </c>
      <c r="P32" s="391"/>
      <c r="Q32" s="391"/>
      <c r="R32" s="391"/>
      <c r="S32" s="391"/>
    </row>
  </sheetData>
  <mergeCells count="26">
    <mergeCell ref="T13:W13"/>
    <mergeCell ref="D14:E14"/>
    <mergeCell ref="F14:G14"/>
    <mergeCell ref="H14:I14"/>
    <mergeCell ref="J14:K14"/>
    <mergeCell ref="L14:M14"/>
    <mergeCell ref="N14:O14"/>
    <mergeCell ref="T14:U14"/>
    <mergeCell ref="V14:W14"/>
    <mergeCell ref="P13:S13"/>
    <mergeCell ref="P14:Q14"/>
    <mergeCell ref="R14:S14"/>
    <mergeCell ref="B9:U9"/>
    <mergeCell ref="A11:W11"/>
    <mergeCell ref="A1:W1"/>
    <mergeCell ref="A2:W2"/>
    <mergeCell ref="A4:W4"/>
    <mergeCell ref="A5:W5"/>
    <mergeCell ref="A7:W7"/>
    <mergeCell ref="A10:W10"/>
    <mergeCell ref="A12:A15"/>
    <mergeCell ref="B12:B15"/>
    <mergeCell ref="C12:C15"/>
    <mergeCell ref="D12:W12"/>
    <mergeCell ref="D13:I13"/>
    <mergeCell ref="J13:O13"/>
  </mergeCells>
  <pageMargins left="0.7" right="0.7" top="0.75" bottom="0.75" header="0.3" footer="0.3"/>
  <pageSetup paperSize="8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U84"/>
  <sheetViews>
    <sheetView topLeftCell="A4" workbookViewId="0">
      <selection activeCell="R15" sqref="R15"/>
    </sheetView>
  </sheetViews>
  <sheetFormatPr defaultColWidth="9.140625" defaultRowHeight="15" x14ac:dyDescent="0.25"/>
  <cols>
    <col min="1" max="1" width="12" style="40" customWidth="1"/>
    <col min="2" max="2" width="42.7109375" style="41" customWidth="1"/>
    <col min="3" max="3" width="24.42578125" style="41" customWidth="1"/>
    <col min="4" max="4" width="21.42578125" style="41" customWidth="1"/>
    <col min="5" max="5" width="9" style="41" customWidth="1"/>
    <col min="6" max="6" width="8" style="41" customWidth="1"/>
    <col min="7" max="7" width="8.42578125" style="41" customWidth="1"/>
    <col min="8" max="8" width="8.7109375" style="41" customWidth="1"/>
    <col min="9" max="10" width="8" style="41" customWidth="1"/>
    <col min="11" max="12" width="8.42578125" style="41" customWidth="1"/>
    <col min="13" max="13" width="7.140625" style="41" customWidth="1"/>
    <col min="14" max="14" width="6.85546875" style="41" customWidth="1"/>
    <col min="15" max="16384" width="9.140625" style="41"/>
  </cols>
  <sheetData>
    <row r="1" spans="1:21" ht="18.75" x14ac:dyDescent="0.25">
      <c r="G1" s="42" t="s">
        <v>141</v>
      </c>
    </row>
    <row r="2" spans="1:21" ht="18.75" x14ac:dyDescent="0.3">
      <c r="G2" s="43" t="s">
        <v>142</v>
      </c>
    </row>
    <row r="3" spans="1:21" ht="18.75" x14ac:dyDescent="0.3">
      <c r="G3" s="43" t="s">
        <v>143</v>
      </c>
    </row>
    <row r="5" spans="1:21" ht="33" customHeight="1" x14ac:dyDescent="0.25">
      <c r="A5" s="731" t="s">
        <v>144</v>
      </c>
      <c r="B5" s="731"/>
      <c r="C5" s="731"/>
      <c r="D5" s="731"/>
      <c r="E5" s="731"/>
      <c r="F5" s="731"/>
      <c r="G5" s="731"/>
      <c r="H5" s="44"/>
      <c r="I5" s="44"/>
      <c r="J5" s="44"/>
      <c r="K5" s="44"/>
      <c r="L5" s="44"/>
    </row>
    <row r="6" spans="1:21" ht="15.75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21" ht="15.75" x14ac:dyDescent="0.25">
      <c r="A7" s="661" t="s">
        <v>145</v>
      </c>
      <c r="B7" s="661"/>
      <c r="C7" s="661"/>
      <c r="D7" s="661"/>
      <c r="E7" s="661"/>
      <c r="F7" s="661"/>
      <c r="G7" s="661"/>
      <c r="H7" s="47"/>
      <c r="I7" s="47"/>
      <c r="J7" s="47"/>
      <c r="K7" s="47"/>
      <c r="L7" s="47"/>
      <c r="M7" s="48"/>
      <c r="N7" s="48"/>
      <c r="O7" s="48"/>
      <c r="P7" s="48"/>
      <c r="Q7" s="48"/>
      <c r="R7" s="48"/>
      <c r="S7" s="48"/>
      <c r="T7" s="49"/>
      <c r="U7" s="12"/>
    </row>
    <row r="8" spans="1:21" ht="15.75" x14ac:dyDescent="0.25">
      <c r="A8" s="694" t="s">
        <v>2</v>
      </c>
      <c r="B8" s="694"/>
      <c r="C8" s="694"/>
      <c r="D8" s="694"/>
      <c r="E8" s="694"/>
      <c r="F8" s="694"/>
      <c r="G8" s="694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49"/>
      <c r="U8" s="12"/>
    </row>
    <row r="9" spans="1:21" ht="15.75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51"/>
      <c r="O9" s="51"/>
      <c r="P9" s="51"/>
      <c r="Q9" s="51"/>
      <c r="R9" s="51"/>
      <c r="S9" s="51"/>
      <c r="T9" s="49"/>
      <c r="U9" s="12"/>
    </row>
    <row r="10" spans="1:21" ht="15.75" x14ac:dyDescent="0.25">
      <c r="A10" s="600" t="s">
        <v>1326</v>
      </c>
      <c r="B10" s="600"/>
      <c r="C10" s="600"/>
      <c r="D10" s="600"/>
      <c r="E10" s="600"/>
      <c r="F10" s="600"/>
      <c r="G10" s="600"/>
      <c r="H10" s="52"/>
      <c r="I10" s="52"/>
      <c r="J10" s="52"/>
      <c r="K10" s="52"/>
      <c r="L10" s="52"/>
    </row>
    <row r="11" spans="1:21" s="53" customFormat="1" x14ac:dyDescent="0.25">
      <c r="B11" s="41"/>
      <c r="C11" s="41"/>
      <c r="D11" s="41"/>
      <c r="E11" s="41"/>
      <c r="F11" s="41"/>
      <c r="G11" s="41"/>
      <c r="H11" s="54"/>
    </row>
    <row r="12" spans="1:21" s="55" customFormat="1" ht="34.5" customHeight="1" x14ac:dyDescent="0.25">
      <c r="A12" s="732" t="s">
        <v>146</v>
      </c>
      <c r="B12" s="730" t="s">
        <v>147</v>
      </c>
      <c r="C12" s="730" t="s">
        <v>148</v>
      </c>
      <c r="D12" s="730" t="s">
        <v>149</v>
      </c>
      <c r="E12" s="730" t="s">
        <v>1356</v>
      </c>
      <c r="F12" s="730"/>
      <c r="G12" s="730"/>
      <c r="H12" s="730"/>
      <c r="I12" s="730"/>
      <c r="J12" s="730" t="s">
        <v>1357</v>
      </c>
      <c r="K12" s="730"/>
      <c r="L12" s="730"/>
      <c r="M12" s="730"/>
      <c r="N12" s="730"/>
    </row>
    <row r="13" spans="1:21" s="53" customFormat="1" ht="34.5" customHeight="1" x14ac:dyDescent="0.25">
      <c r="A13" s="732"/>
      <c r="B13" s="730"/>
      <c r="C13" s="730"/>
      <c r="D13" s="730"/>
      <c r="E13" s="56">
        <v>2022</v>
      </c>
      <c r="F13" s="56">
        <v>2023</v>
      </c>
      <c r="G13" s="56">
        <v>2024</v>
      </c>
      <c r="H13" s="56">
        <v>2025</v>
      </c>
      <c r="I13" s="56">
        <v>2026</v>
      </c>
      <c r="J13" s="56">
        <v>2022</v>
      </c>
      <c r="K13" s="56">
        <v>2023</v>
      </c>
      <c r="L13" s="56">
        <v>2024</v>
      </c>
      <c r="M13" s="56">
        <v>2025</v>
      </c>
      <c r="N13" s="56">
        <v>2026</v>
      </c>
    </row>
    <row r="14" spans="1:21" s="53" customFormat="1" ht="15.75" customHeight="1" x14ac:dyDescent="0.25">
      <c r="A14" s="57">
        <v>1</v>
      </c>
      <c r="B14" s="58">
        <v>2</v>
      </c>
      <c r="C14" s="57">
        <v>3</v>
      </c>
      <c r="D14" s="58">
        <v>4</v>
      </c>
      <c r="E14" s="59" t="s">
        <v>150</v>
      </c>
      <c r="F14" s="59" t="s">
        <v>151</v>
      </c>
      <c r="G14" s="59" t="s">
        <v>152</v>
      </c>
      <c r="H14" s="59" t="s">
        <v>583</v>
      </c>
      <c r="I14" s="59" t="s">
        <v>584</v>
      </c>
      <c r="J14" s="59" t="s">
        <v>150</v>
      </c>
      <c r="K14" s="59" t="s">
        <v>151</v>
      </c>
      <c r="L14" s="59" t="s">
        <v>152</v>
      </c>
      <c r="M14" s="59" t="s">
        <v>583</v>
      </c>
      <c r="N14" s="59" t="s">
        <v>584</v>
      </c>
    </row>
    <row r="15" spans="1:21" s="12" customFormat="1" ht="93.75" customHeight="1" x14ac:dyDescent="0.2">
      <c r="A15" s="60">
        <v>1</v>
      </c>
      <c r="B15" s="61" t="s">
        <v>153</v>
      </c>
      <c r="C15" s="62" t="s">
        <v>1327</v>
      </c>
      <c r="D15" s="167">
        <v>44972</v>
      </c>
      <c r="E15" s="63">
        <v>1.042</v>
      </c>
      <c r="F15" s="63">
        <v>1.0429999999999999</v>
      </c>
      <c r="G15" s="63">
        <v>1.0409999999999999</v>
      </c>
      <c r="H15" s="63">
        <v>1.0409999999999999</v>
      </c>
      <c r="I15" s="63">
        <v>1.0409999999999999</v>
      </c>
      <c r="J15" s="63">
        <v>1.042</v>
      </c>
      <c r="K15" s="63">
        <v>1.0549999999999999</v>
      </c>
      <c r="L15" s="63">
        <v>1.0429999999999999</v>
      </c>
      <c r="M15" s="63">
        <v>1.0429999999999999</v>
      </c>
      <c r="N15" s="63">
        <v>1.0429999999999999</v>
      </c>
    </row>
    <row r="16" spans="1:21" s="12" customFormat="1" ht="74.25" customHeight="1" x14ac:dyDescent="0.25">
      <c r="A16" s="60">
        <v>2</v>
      </c>
      <c r="B16" s="61" t="s">
        <v>154</v>
      </c>
      <c r="C16" s="64" t="s">
        <v>33</v>
      </c>
      <c r="D16" s="64" t="s">
        <v>33</v>
      </c>
      <c r="E16" s="64" t="s">
        <v>33</v>
      </c>
      <c r="F16" s="64" t="s">
        <v>33</v>
      </c>
      <c r="G16" s="64" t="s">
        <v>33</v>
      </c>
      <c r="H16" s="64" t="s">
        <v>33</v>
      </c>
      <c r="I16" s="64" t="s">
        <v>33</v>
      </c>
      <c r="J16" s="64" t="s">
        <v>33</v>
      </c>
      <c r="K16" s="64" t="s">
        <v>33</v>
      </c>
      <c r="L16" s="64" t="s">
        <v>33</v>
      </c>
      <c r="M16" s="64" t="s">
        <v>33</v>
      </c>
      <c r="N16" s="64" t="s">
        <v>33</v>
      </c>
    </row>
    <row r="17" spans="1:14" s="12" customFormat="1" ht="60" x14ac:dyDescent="0.25">
      <c r="A17" s="60">
        <v>3</v>
      </c>
      <c r="B17" s="61" t="s">
        <v>154</v>
      </c>
      <c r="C17" s="64" t="s">
        <v>33</v>
      </c>
      <c r="D17" s="64" t="s">
        <v>33</v>
      </c>
      <c r="E17" s="64" t="s">
        <v>33</v>
      </c>
      <c r="F17" s="64" t="s">
        <v>33</v>
      </c>
      <c r="G17" s="64" t="s">
        <v>33</v>
      </c>
      <c r="H17" s="64" t="s">
        <v>33</v>
      </c>
      <c r="I17" s="64" t="s">
        <v>33</v>
      </c>
      <c r="J17" s="64" t="s">
        <v>33</v>
      </c>
      <c r="K17" s="64" t="s">
        <v>33</v>
      </c>
      <c r="L17" s="64" t="s">
        <v>33</v>
      </c>
      <c r="M17" s="64" t="s">
        <v>33</v>
      </c>
      <c r="N17" s="64" t="s">
        <v>33</v>
      </c>
    </row>
    <row r="18" spans="1:14" s="12" customFormat="1" x14ac:dyDescent="0.25">
      <c r="A18" s="65" t="s">
        <v>155</v>
      </c>
      <c r="B18" s="61" t="s">
        <v>155</v>
      </c>
      <c r="C18" s="61"/>
      <c r="D18" s="61"/>
      <c r="E18" s="66"/>
      <c r="F18" s="66"/>
      <c r="G18" s="66"/>
      <c r="H18" s="209"/>
      <c r="I18" s="209"/>
      <c r="J18" s="66"/>
      <c r="K18" s="66"/>
      <c r="L18" s="66"/>
      <c r="M18" s="209"/>
      <c r="N18" s="209"/>
    </row>
    <row r="19" spans="1:14" s="12" customFormat="1" x14ac:dyDescent="0.25">
      <c r="A19" s="67"/>
      <c r="B19" s="68"/>
      <c r="C19" s="68"/>
      <c r="D19" s="68"/>
      <c r="E19" s="68"/>
      <c r="F19" s="68"/>
      <c r="G19" s="68"/>
      <c r="H19" s="69"/>
      <c r="I19" s="70"/>
      <c r="J19" s="70"/>
      <c r="K19" s="70"/>
      <c r="L19" s="70"/>
      <c r="M19" s="41"/>
    </row>
    <row r="20" spans="1:14" s="12" customFormat="1" x14ac:dyDescent="0.25">
      <c r="A20" s="67"/>
    </row>
    <row r="21" spans="1:14" s="12" customFormat="1" ht="15.75" x14ac:dyDescent="0.25">
      <c r="A21" s="11" t="s">
        <v>52</v>
      </c>
      <c r="D21" s="12" t="s">
        <v>1325</v>
      </c>
      <c r="E21" s="30"/>
    </row>
    <row r="22" spans="1:14" s="12" customFormat="1" x14ac:dyDescent="0.25">
      <c r="A22" s="67"/>
      <c r="H22" s="71"/>
      <c r="I22" s="72"/>
      <c r="J22" s="72"/>
      <c r="K22" s="72"/>
      <c r="L22" s="72"/>
      <c r="M22" s="73"/>
    </row>
    <row r="23" spans="1:14" s="12" customFormat="1" x14ac:dyDescent="0.25">
      <c r="A23" s="67"/>
      <c r="H23" s="71"/>
      <c r="I23" s="72"/>
      <c r="J23" s="72"/>
      <c r="K23" s="72"/>
      <c r="L23" s="72"/>
      <c r="M23" s="74"/>
    </row>
    <row r="24" spans="1:14" s="12" customFormat="1" x14ac:dyDescent="0.25">
      <c r="A24" s="67"/>
      <c r="H24" s="75"/>
      <c r="I24" s="75"/>
      <c r="J24" s="75"/>
      <c r="K24" s="75"/>
      <c r="L24" s="75"/>
      <c r="M24" s="76"/>
    </row>
    <row r="25" spans="1:14" s="12" customFormat="1" ht="15.75" x14ac:dyDescent="0.25">
      <c r="A25" s="67"/>
      <c r="B25" s="77"/>
      <c r="C25" s="77"/>
      <c r="D25" s="77"/>
      <c r="E25" s="77"/>
      <c r="F25" s="77"/>
      <c r="G25" s="77"/>
      <c r="H25" s="78"/>
      <c r="I25" s="79"/>
      <c r="J25" s="79"/>
      <c r="K25" s="79"/>
      <c r="L25" s="79"/>
      <c r="M25" s="76"/>
    </row>
    <row r="26" spans="1:14" s="12" customFormat="1" ht="15.75" x14ac:dyDescent="0.25">
      <c r="A26" s="67"/>
      <c r="B26" s="80"/>
      <c r="C26" s="80"/>
      <c r="D26" s="80"/>
      <c r="E26" s="80"/>
      <c r="F26" s="80"/>
      <c r="G26" s="80"/>
      <c r="H26" s="81"/>
      <c r="I26" s="79"/>
      <c r="J26" s="79"/>
      <c r="K26" s="79"/>
      <c r="L26" s="79"/>
      <c r="M26" s="76"/>
    </row>
    <row r="27" spans="1:14" ht="15.75" x14ac:dyDescent="0.25">
      <c r="H27" s="82"/>
      <c r="I27" s="79"/>
      <c r="J27" s="79"/>
      <c r="K27" s="79"/>
      <c r="L27" s="79"/>
      <c r="M27" s="76"/>
    </row>
    <row r="28" spans="1:14" x14ac:dyDescent="0.25">
      <c r="H28" s="82"/>
      <c r="I28" s="77"/>
      <c r="J28" s="77"/>
      <c r="K28" s="77"/>
      <c r="L28" s="77"/>
      <c r="M28" s="76"/>
    </row>
    <row r="29" spans="1:14" x14ac:dyDescent="0.25">
      <c r="H29" s="82"/>
      <c r="I29" s="77"/>
      <c r="J29" s="77"/>
      <c r="K29" s="77"/>
      <c r="L29" s="77"/>
      <c r="M29" s="76"/>
    </row>
    <row r="30" spans="1:14" x14ac:dyDescent="0.25">
      <c r="H30" s="82"/>
      <c r="I30" s="77"/>
      <c r="J30" s="77"/>
      <c r="K30" s="77"/>
      <c r="L30" s="77"/>
      <c r="M30" s="76"/>
    </row>
    <row r="31" spans="1:14" x14ac:dyDescent="0.25">
      <c r="H31" s="82"/>
      <c r="I31" s="77"/>
      <c r="J31" s="77"/>
      <c r="K31" s="77"/>
      <c r="L31" s="77"/>
      <c r="M31" s="76"/>
    </row>
    <row r="32" spans="1:14" x14ac:dyDescent="0.25">
      <c r="H32" s="82"/>
      <c r="I32" s="77"/>
      <c r="J32" s="77"/>
      <c r="K32" s="77"/>
      <c r="L32" s="77"/>
      <c r="M32" s="76"/>
    </row>
    <row r="33" spans="8:13" x14ac:dyDescent="0.25">
      <c r="H33" s="82"/>
      <c r="I33" s="77"/>
      <c r="J33" s="77"/>
      <c r="K33" s="77"/>
      <c r="L33" s="77"/>
      <c r="M33" s="76"/>
    </row>
    <row r="34" spans="8:13" x14ac:dyDescent="0.25">
      <c r="H34" s="82"/>
      <c r="I34" s="77"/>
      <c r="J34" s="77"/>
      <c r="K34" s="77"/>
      <c r="L34" s="77"/>
      <c r="M34" s="76"/>
    </row>
    <row r="35" spans="8:13" x14ac:dyDescent="0.25">
      <c r="H35" s="82"/>
      <c r="I35" s="77"/>
      <c r="J35" s="77"/>
      <c r="K35" s="77"/>
      <c r="L35" s="77"/>
      <c r="M35" s="76"/>
    </row>
    <row r="36" spans="8:13" x14ac:dyDescent="0.25">
      <c r="H36" s="82"/>
      <c r="I36" s="77"/>
      <c r="J36" s="77"/>
      <c r="K36" s="77"/>
      <c r="L36" s="77"/>
      <c r="M36" s="76"/>
    </row>
    <row r="37" spans="8:13" x14ac:dyDescent="0.25">
      <c r="H37" s="82"/>
      <c r="I37" s="77"/>
      <c r="J37" s="77"/>
      <c r="K37" s="77"/>
      <c r="L37" s="77"/>
      <c r="M37" s="76"/>
    </row>
    <row r="38" spans="8:13" x14ac:dyDescent="0.25">
      <c r="H38" s="82"/>
      <c r="I38" s="77"/>
      <c r="J38" s="77"/>
      <c r="K38" s="77"/>
      <c r="L38" s="77"/>
      <c r="M38" s="76"/>
    </row>
    <row r="39" spans="8:13" x14ac:dyDescent="0.25">
      <c r="H39" s="82"/>
      <c r="I39" s="77"/>
      <c r="J39" s="77"/>
      <c r="K39" s="77"/>
      <c r="L39" s="77"/>
      <c r="M39" s="76"/>
    </row>
    <row r="40" spans="8:13" x14ac:dyDescent="0.25">
      <c r="H40" s="82"/>
      <c r="I40" s="77"/>
      <c r="J40" s="77"/>
      <c r="K40" s="77"/>
      <c r="L40" s="77"/>
      <c r="M40" s="76"/>
    </row>
    <row r="41" spans="8:13" x14ac:dyDescent="0.25">
      <c r="H41" s="82"/>
      <c r="I41" s="77"/>
      <c r="J41" s="77"/>
      <c r="K41" s="77"/>
      <c r="L41" s="77"/>
      <c r="M41" s="76"/>
    </row>
    <row r="42" spans="8:13" x14ac:dyDescent="0.25">
      <c r="H42" s="82"/>
      <c r="I42" s="77"/>
      <c r="J42" s="77"/>
      <c r="K42" s="77"/>
      <c r="L42" s="77"/>
      <c r="M42" s="76"/>
    </row>
    <row r="43" spans="8:13" x14ac:dyDescent="0.25">
      <c r="H43" s="82"/>
      <c r="I43" s="77"/>
      <c r="J43" s="77"/>
      <c r="K43" s="77"/>
      <c r="L43" s="77"/>
      <c r="M43" s="76"/>
    </row>
    <row r="44" spans="8:13" x14ac:dyDescent="0.25">
      <c r="H44" s="82"/>
      <c r="I44" s="77"/>
      <c r="J44" s="77"/>
      <c r="K44" s="77"/>
      <c r="L44" s="77"/>
      <c r="M44" s="76"/>
    </row>
    <row r="45" spans="8:13" x14ac:dyDescent="0.25">
      <c r="H45" s="82"/>
      <c r="I45" s="77"/>
      <c r="J45" s="77"/>
      <c r="K45" s="77"/>
      <c r="L45" s="77"/>
      <c r="M45" s="76"/>
    </row>
    <row r="46" spans="8:13" ht="15.75" x14ac:dyDescent="0.25">
      <c r="H46" s="82"/>
      <c r="I46" s="79"/>
      <c r="J46" s="79"/>
      <c r="K46" s="79"/>
      <c r="L46" s="79"/>
      <c r="M46" s="76"/>
    </row>
    <row r="47" spans="8:13" ht="15.75" x14ac:dyDescent="0.25">
      <c r="H47" s="82"/>
      <c r="I47" s="79"/>
      <c r="J47" s="79"/>
      <c r="K47" s="79"/>
      <c r="L47" s="79"/>
      <c r="M47" s="76"/>
    </row>
    <row r="48" spans="8:13" ht="15.75" x14ac:dyDescent="0.25">
      <c r="H48" s="82"/>
      <c r="I48" s="79"/>
      <c r="J48" s="79"/>
      <c r="K48" s="79"/>
      <c r="L48" s="79"/>
      <c r="M48" s="76"/>
    </row>
    <row r="49" spans="1:13" ht="15.75" x14ac:dyDescent="0.25">
      <c r="H49" s="82"/>
      <c r="I49" s="79"/>
      <c r="J49" s="79"/>
      <c r="K49" s="79"/>
      <c r="L49" s="79"/>
      <c r="M49" s="76"/>
    </row>
    <row r="50" spans="1:13" ht="15.75" x14ac:dyDescent="0.25">
      <c r="H50" s="82"/>
      <c r="I50" s="79"/>
      <c r="J50" s="79"/>
      <c r="K50" s="79"/>
      <c r="L50" s="79"/>
      <c r="M50" s="76"/>
    </row>
    <row r="51" spans="1:13" s="12" customFormat="1" x14ac:dyDescent="0.25">
      <c r="A51" s="67"/>
    </row>
    <row r="52" spans="1:13" s="12" customFormat="1" x14ac:dyDescent="0.25">
      <c r="A52" s="67"/>
    </row>
    <row r="53" spans="1:13" s="12" customFormat="1" x14ac:dyDescent="0.25">
      <c r="A53" s="67"/>
    </row>
    <row r="54" spans="1:13" s="12" customFormat="1" x14ac:dyDescent="0.25">
      <c r="A54" s="67"/>
    </row>
    <row r="55" spans="1:13" ht="15.75" x14ac:dyDescent="0.25">
      <c r="H55" s="82"/>
      <c r="I55" s="79"/>
      <c r="J55" s="79"/>
      <c r="K55" s="79"/>
      <c r="L55" s="79"/>
      <c r="M55" s="76"/>
    </row>
    <row r="56" spans="1:13" ht="15.75" x14ac:dyDescent="0.25">
      <c r="H56" s="82"/>
      <c r="I56" s="79"/>
      <c r="J56" s="79"/>
      <c r="K56" s="79"/>
      <c r="L56" s="79"/>
      <c r="M56" s="76"/>
    </row>
    <row r="57" spans="1:13" ht="15.75" x14ac:dyDescent="0.25">
      <c r="H57" s="82"/>
      <c r="I57" s="79"/>
      <c r="J57" s="79"/>
      <c r="K57" s="79"/>
      <c r="L57" s="79"/>
      <c r="M57" s="76"/>
    </row>
    <row r="58" spans="1:13" ht="15.75" x14ac:dyDescent="0.25">
      <c r="H58" s="82"/>
      <c r="I58" s="79"/>
      <c r="J58" s="79"/>
      <c r="K58" s="79"/>
      <c r="L58" s="79"/>
      <c r="M58" s="76"/>
    </row>
    <row r="59" spans="1:13" ht="15.75" x14ac:dyDescent="0.25">
      <c r="H59" s="82"/>
      <c r="I59" s="79"/>
      <c r="J59" s="79"/>
      <c r="K59" s="79"/>
      <c r="L59" s="79"/>
      <c r="M59" s="76"/>
    </row>
    <row r="60" spans="1:13" ht="15.75" x14ac:dyDescent="0.25">
      <c r="H60" s="82"/>
      <c r="I60" s="79"/>
      <c r="J60" s="79"/>
      <c r="K60" s="79"/>
      <c r="L60" s="79"/>
      <c r="M60" s="76"/>
    </row>
    <row r="61" spans="1:13" ht="15.75" x14ac:dyDescent="0.25">
      <c r="H61" s="82"/>
      <c r="I61" s="79"/>
      <c r="J61" s="79"/>
      <c r="K61" s="79"/>
      <c r="L61" s="79"/>
      <c r="M61" s="76"/>
    </row>
    <row r="62" spans="1:13" ht="15.75" x14ac:dyDescent="0.25">
      <c r="H62" s="82"/>
      <c r="I62" s="79"/>
      <c r="J62" s="79"/>
      <c r="K62" s="79"/>
      <c r="L62" s="79"/>
      <c r="M62" s="76"/>
    </row>
    <row r="63" spans="1:13" ht="15.75" x14ac:dyDescent="0.25">
      <c r="H63" s="82"/>
      <c r="I63" s="79"/>
      <c r="J63" s="79"/>
      <c r="K63" s="79"/>
      <c r="L63" s="79"/>
      <c r="M63" s="76"/>
    </row>
    <row r="64" spans="1:13" ht="15.75" x14ac:dyDescent="0.25">
      <c r="H64" s="82"/>
      <c r="I64" s="79"/>
      <c r="J64" s="79"/>
      <c r="K64" s="79"/>
      <c r="L64" s="79"/>
      <c r="M64" s="76"/>
    </row>
    <row r="65" spans="1:13" ht="15.75" x14ac:dyDescent="0.25">
      <c r="H65" s="82"/>
      <c r="I65" s="79"/>
      <c r="J65" s="79"/>
      <c r="K65" s="79"/>
      <c r="L65" s="79"/>
      <c r="M65" s="76"/>
    </row>
    <row r="66" spans="1:13" ht="15.75" x14ac:dyDescent="0.25">
      <c r="H66" s="82"/>
      <c r="I66" s="79"/>
      <c r="J66" s="79"/>
      <c r="K66" s="79"/>
      <c r="L66" s="79"/>
      <c r="M66" s="76"/>
    </row>
    <row r="67" spans="1:13" ht="15.75" x14ac:dyDescent="0.25">
      <c r="H67" s="82"/>
      <c r="I67" s="79"/>
      <c r="J67" s="79"/>
      <c r="K67" s="79"/>
      <c r="L67" s="79"/>
      <c r="M67" s="76"/>
    </row>
    <row r="68" spans="1:13" ht="15.75" x14ac:dyDescent="0.25">
      <c r="H68" s="82"/>
      <c r="I68" s="79"/>
      <c r="J68" s="79"/>
      <c r="K68" s="79"/>
      <c r="L68" s="79"/>
      <c r="M68" s="76"/>
    </row>
    <row r="69" spans="1:13" ht="15.75" x14ac:dyDescent="0.25">
      <c r="H69" s="82"/>
      <c r="I69" s="79"/>
      <c r="J69" s="79"/>
      <c r="K69" s="79"/>
      <c r="L69" s="79"/>
      <c r="M69" s="76"/>
    </row>
    <row r="70" spans="1:13" ht="15.75" x14ac:dyDescent="0.25">
      <c r="H70" s="82"/>
      <c r="I70" s="79"/>
      <c r="J70" s="79"/>
      <c r="K70" s="79"/>
      <c r="L70" s="79"/>
      <c r="M70" s="76"/>
    </row>
    <row r="71" spans="1:13" ht="15.75" x14ac:dyDescent="0.25">
      <c r="H71" s="82"/>
      <c r="I71" s="79"/>
      <c r="J71" s="79"/>
      <c r="K71" s="79"/>
      <c r="L71" s="79"/>
      <c r="M71" s="76"/>
    </row>
    <row r="72" spans="1:13" ht="15.75" x14ac:dyDescent="0.25">
      <c r="H72" s="82"/>
      <c r="I72" s="79"/>
      <c r="J72" s="79"/>
      <c r="K72" s="79"/>
      <c r="L72" s="79"/>
      <c r="M72" s="76"/>
    </row>
    <row r="73" spans="1:13" ht="15.75" x14ac:dyDescent="0.25">
      <c r="H73" s="82"/>
      <c r="I73" s="79"/>
      <c r="J73" s="79"/>
      <c r="K73" s="79"/>
      <c r="L73" s="79"/>
      <c r="M73" s="76"/>
    </row>
    <row r="74" spans="1:13" ht="15.75" x14ac:dyDescent="0.25">
      <c r="H74" s="82"/>
      <c r="I74" s="79"/>
      <c r="J74" s="79"/>
      <c r="K74" s="79"/>
      <c r="L74" s="79"/>
      <c r="M74" s="76"/>
    </row>
    <row r="75" spans="1:13" s="12" customFormat="1" x14ac:dyDescent="0.25">
      <c r="A75" s="67"/>
    </row>
    <row r="76" spans="1:13" ht="15.75" x14ac:dyDescent="0.25">
      <c r="H76" s="82"/>
      <c r="I76" s="79"/>
      <c r="J76" s="79"/>
      <c r="K76" s="79"/>
      <c r="L76" s="79"/>
      <c r="M76" s="76"/>
    </row>
    <row r="77" spans="1:13" x14ac:dyDescent="0.25">
      <c r="H77" s="83"/>
      <c r="I77" s="84"/>
      <c r="J77" s="84"/>
      <c r="K77" s="84"/>
      <c r="L77" s="84"/>
      <c r="M77" s="85"/>
    </row>
    <row r="78" spans="1:13" x14ac:dyDescent="0.25">
      <c r="B78" s="86"/>
      <c r="C78" s="86"/>
      <c r="D78" s="86"/>
      <c r="E78" s="86"/>
      <c r="F78" s="86"/>
      <c r="G78" s="86"/>
      <c r="H78" s="83"/>
      <c r="I78" s="84"/>
      <c r="J78" s="84"/>
      <c r="K78" s="84"/>
      <c r="L78" s="84"/>
      <c r="M78" s="85"/>
    </row>
    <row r="79" spans="1:13" s="40" customFormat="1" x14ac:dyDescent="0.25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4" s="40" customFormat="1" x14ac:dyDescent="0.25"/>
  </sheetData>
  <mergeCells count="10">
    <mergeCell ref="J12:N12"/>
    <mergeCell ref="A5:G5"/>
    <mergeCell ref="A7:G7"/>
    <mergeCell ref="A8:G8"/>
    <mergeCell ref="A10:G10"/>
    <mergeCell ref="A12:A13"/>
    <mergeCell ref="B12:B13"/>
    <mergeCell ref="C12:C13"/>
    <mergeCell ref="D12:D13"/>
    <mergeCell ref="E12:I12"/>
  </mergeCells>
  <pageMargins left="0.7" right="0.7" top="0.75" bottom="0.75" header="0.3" footer="0.3"/>
  <pageSetup paperSize="9" scale="6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B28"/>
  <sheetViews>
    <sheetView workbookViewId="0">
      <selection activeCell="A18" sqref="A18:E18"/>
    </sheetView>
  </sheetViews>
  <sheetFormatPr defaultColWidth="8.85546875" defaultRowHeight="15" x14ac:dyDescent="0.25"/>
  <cols>
    <col min="2" max="2" width="59.28515625" bestFit="1" customWidth="1"/>
    <col min="3" max="3" width="11.28515625" bestFit="1" customWidth="1"/>
    <col min="4" max="4" width="13.28515625" bestFit="1" customWidth="1"/>
    <col min="5" max="5" width="11.42578125" customWidth="1"/>
    <col min="6" max="6" width="10.42578125" customWidth="1"/>
    <col min="7" max="8" width="10.140625" customWidth="1"/>
  </cols>
  <sheetData>
    <row r="1" spans="1:54" s="157" customFormat="1" ht="15.75" x14ac:dyDescent="0.25">
      <c r="A1" s="735" t="s">
        <v>452</v>
      </c>
      <c r="B1" s="735"/>
      <c r="C1" s="735"/>
      <c r="D1" s="735"/>
      <c r="E1" s="735"/>
      <c r="F1" s="735"/>
      <c r="L1" s="30"/>
      <c r="M1" s="158"/>
      <c r="N1" s="30"/>
      <c r="O1" s="30"/>
      <c r="P1" s="30"/>
      <c r="Q1" s="30"/>
      <c r="R1" s="30"/>
      <c r="S1" s="30"/>
      <c r="T1" s="30"/>
      <c r="U1" s="30"/>
      <c r="V1" s="30"/>
    </row>
    <row r="2" spans="1:54" s="157" customFormat="1" ht="15.75" x14ac:dyDescent="0.25">
      <c r="G2" s="30"/>
      <c r="H2" s="30"/>
      <c r="I2" s="30"/>
      <c r="J2" s="30"/>
      <c r="K2" s="30"/>
      <c r="L2" s="30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30"/>
      <c r="AB2" s="107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</row>
    <row r="3" spans="1:54" s="157" customFormat="1" ht="15.75" x14ac:dyDescent="0.25">
      <c r="A3" s="661" t="s">
        <v>453</v>
      </c>
      <c r="B3" s="661"/>
      <c r="C3" s="661"/>
      <c r="D3" s="661"/>
      <c r="E3" s="661"/>
      <c r="F3" s="661"/>
      <c r="G3" s="48"/>
      <c r="H3" s="48"/>
      <c r="I3" s="48"/>
      <c r="J3" s="48"/>
      <c r="K3" s="48"/>
      <c r="L3" s="48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30"/>
      <c r="AB3" s="107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</row>
    <row r="4" spans="1:54" s="157" customFormat="1" ht="15.75" x14ac:dyDescent="0.25">
      <c r="A4" s="661" t="s">
        <v>2</v>
      </c>
      <c r="B4" s="661"/>
      <c r="C4" s="661"/>
      <c r="D4" s="661"/>
      <c r="E4" s="661"/>
      <c r="F4" s="661"/>
      <c r="G4" s="47"/>
      <c r="H4" s="47"/>
      <c r="I4" s="47"/>
      <c r="J4" s="47"/>
      <c r="K4" s="47"/>
      <c r="L4" s="4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30"/>
      <c r="AB4" s="107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</row>
    <row r="5" spans="1:54" s="157" customFormat="1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30"/>
      <c r="AB5" s="107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</row>
    <row r="6" spans="1:54" s="157" customFormat="1" ht="15.75" x14ac:dyDescent="0.25">
      <c r="A6" s="600" t="s">
        <v>1324</v>
      </c>
      <c r="B6" s="600"/>
      <c r="C6" s="600"/>
      <c r="D6" s="600"/>
      <c r="E6" s="600"/>
      <c r="F6" s="60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</row>
    <row r="7" spans="1:54" s="157" customFormat="1" ht="15" customHeight="1" x14ac:dyDescent="0.25">
      <c r="A7" s="105"/>
      <c r="B7" s="105"/>
      <c r="C7" s="105"/>
      <c r="D7" s="105"/>
      <c r="E7" s="105"/>
      <c r="F7" s="10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</row>
    <row r="8" spans="1:54" s="157" customFormat="1" ht="18" customHeight="1" x14ac:dyDescent="0.25">
      <c r="A8" s="648" t="s">
        <v>454</v>
      </c>
      <c r="B8" s="648"/>
      <c r="C8" s="648"/>
      <c r="D8" s="648"/>
      <c r="E8" s="648"/>
      <c r="F8" s="648"/>
      <c r="G8" s="159"/>
      <c r="H8" s="159"/>
      <c r="I8" s="159"/>
      <c r="J8" s="159"/>
      <c r="K8" s="159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</row>
    <row r="9" spans="1:54" s="157" customFormat="1" ht="13.5" customHeight="1" x14ac:dyDescent="0.25">
      <c r="A9" s="109"/>
      <c r="B9" s="109"/>
      <c r="C9" s="109"/>
      <c r="D9" s="109"/>
      <c r="E9" s="109"/>
      <c r="F9" s="109"/>
      <c r="G9" s="159"/>
      <c r="H9" s="159"/>
      <c r="I9" s="159"/>
      <c r="J9" s="159"/>
      <c r="K9" s="159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</row>
    <row r="10" spans="1:54" s="157" customFormat="1" ht="36" customHeight="1" x14ac:dyDescent="0.25">
      <c r="A10" s="733" t="s">
        <v>146</v>
      </c>
      <c r="B10" s="734" t="s">
        <v>455</v>
      </c>
      <c r="C10" s="734" t="s">
        <v>456</v>
      </c>
      <c r="D10" s="736" t="s">
        <v>457</v>
      </c>
      <c r="E10" s="737"/>
      <c r="F10" s="737"/>
      <c r="G10" s="737"/>
      <c r="H10" s="738"/>
      <c r="I10" s="160"/>
      <c r="J10" s="160"/>
      <c r="K10" s="160"/>
      <c r="L10" s="160"/>
      <c r="M10" s="160"/>
      <c r="N10" s="161"/>
      <c r="O10" s="161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54" s="157" customFormat="1" ht="15.75" x14ac:dyDescent="0.25">
      <c r="A11" s="733"/>
      <c r="B11" s="734"/>
      <c r="C11" s="734"/>
      <c r="D11" s="162" t="s">
        <v>660</v>
      </c>
      <c r="E11" s="225" t="s">
        <v>661</v>
      </c>
      <c r="F11" s="225" t="s">
        <v>662</v>
      </c>
      <c r="G11" s="225" t="s">
        <v>663</v>
      </c>
      <c r="H11" s="225" t="s">
        <v>664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54" s="309" customFormat="1" ht="15.75" x14ac:dyDescent="0.25">
      <c r="A12" s="307">
        <v>1</v>
      </c>
      <c r="B12" s="308">
        <v>2</v>
      </c>
      <c r="C12" s="307">
        <v>3</v>
      </c>
      <c r="D12" s="307">
        <v>5</v>
      </c>
      <c r="E12" s="308">
        <v>6</v>
      </c>
      <c r="F12" s="164">
        <v>7</v>
      </c>
      <c r="G12" s="164">
        <v>8</v>
      </c>
      <c r="H12" s="164">
        <v>9</v>
      </c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</row>
    <row r="13" spans="1:54" s="157" customFormat="1" ht="50.25" x14ac:dyDescent="0.25">
      <c r="A13" s="307">
        <v>1</v>
      </c>
      <c r="B13" s="310" t="s">
        <v>1314</v>
      </c>
      <c r="C13" s="163" t="s">
        <v>1312</v>
      </c>
      <c r="D13" s="311">
        <v>0.98199999999999998</v>
      </c>
      <c r="E13" s="311">
        <v>0.80719904634396233</v>
      </c>
      <c r="F13" s="311">
        <v>0.66638346946117</v>
      </c>
      <c r="G13" s="311">
        <v>0.55249523520156696</v>
      </c>
      <c r="H13" s="311">
        <v>0.46002357273096728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54" s="157" customFormat="1" ht="34.5" x14ac:dyDescent="0.25">
      <c r="A14" s="164">
        <v>2</v>
      </c>
      <c r="B14" s="310" t="s">
        <v>1315</v>
      </c>
      <c r="C14" s="165" t="s">
        <v>1313</v>
      </c>
      <c r="D14" s="311">
        <v>0.17499999999999999</v>
      </c>
      <c r="E14" s="311">
        <v>0.14458674999999999</v>
      </c>
      <c r="F14" s="311">
        <v>0.11945901871749999</v>
      </c>
      <c r="G14" s="311">
        <v>9.8698235854585661E-2</v>
      </c>
      <c r="H14" s="311">
        <v>8.1545469445417212E-2</v>
      </c>
    </row>
    <row r="15" spans="1:54" s="157" customFormat="1" ht="34.5" x14ac:dyDescent="0.25">
      <c r="A15" s="164">
        <v>3</v>
      </c>
      <c r="B15" s="310" t="s">
        <v>1316</v>
      </c>
      <c r="C15" s="313" t="s">
        <v>73</v>
      </c>
      <c r="D15" s="312">
        <v>1</v>
      </c>
      <c r="E15" s="312">
        <v>1</v>
      </c>
      <c r="F15" s="312">
        <v>1</v>
      </c>
      <c r="G15" s="312">
        <v>1</v>
      </c>
      <c r="H15" s="312">
        <v>1</v>
      </c>
    </row>
    <row r="16" spans="1:54" s="157" customFormat="1" ht="15.75" x14ac:dyDescent="0.25">
      <c r="K16" s="166"/>
    </row>
    <row r="17" spans="1:11" s="157" customFormat="1" ht="15.75" x14ac:dyDescent="0.25">
      <c r="K17" s="166"/>
    </row>
    <row r="18" spans="1:11" s="12" customFormat="1" x14ac:dyDescent="0.25">
      <c r="A18" s="11" t="s">
        <v>52</v>
      </c>
      <c r="D18" s="12" t="s">
        <v>1325</v>
      </c>
    </row>
    <row r="19" spans="1:11" s="157" customFormat="1" ht="15.75" x14ac:dyDescent="0.25"/>
    <row r="20" spans="1:11" s="157" customFormat="1" ht="15.75" x14ac:dyDescent="0.25"/>
    <row r="21" spans="1:11" s="157" customFormat="1" ht="15.75" x14ac:dyDescent="0.25"/>
    <row r="22" spans="1:11" s="157" customFormat="1" ht="15.75" x14ac:dyDescent="0.25"/>
    <row r="23" spans="1:11" s="157" customFormat="1" ht="15.75" x14ac:dyDescent="0.25"/>
    <row r="24" spans="1:11" s="157" customFormat="1" ht="15.75" x14ac:dyDescent="0.25"/>
    <row r="25" spans="1:11" s="157" customFormat="1" ht="15.75" x14ac:dyDescent="0.25"/>
    <row r="26" spans="1:11" s="157" customFormat="1" ht="15.75" x14ac:dyDescent="0.25"/>
    <row r="27" spans="1:11" s="157" customFormat="1" ht="15.75" x14ac:dyDescent="0.25"/>
    <row r="28" spans="1:11" s="157" customFormat="1" ht="15.75" x14ac:dyDescent="0.25"/>
  </sheetData>
  <mergeCells count="9">
    <mergeCell ref="A10:A11"/>
    <mergeCell ref="B10:B11"/>
    <mergeCell ref="C10:C11"/>
    <mergeCell ref="A1:F1"/>
    <mergeCell ref="A3:F3"/>
    <mergeCell ref="A4:F4"/>
    <mergeCell ref="A6:F6"/>
    <mergeCell ref="A8:F8"/>
    <mergeCell ref="D10:H10"/>
  </mergeCells>
  <pageMargins left="0.7" right="0.7" top="0.75" bottom="0.75" header="0.3" footer="0.3"/>
  <pageSetup paperSize="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5:T100"/>
  <sheetViews>
    <sheetView tabSelected="1" topLeftCell="A10" workbookViewId="0">
      <selection activeCell="X22" sqref="X22"/>
    </sheetView>
  </sheetViews>
  <sheetFormatPr defaultRowHeight="11.25" x14ac:dyDescent="0.2"/>
  <cols>
    <col min="1" max="1" width="1.7109375" style="551" customWidth="1"/>
    <col min="2" max="2" width="6.140625" style="551" customWidth="1"/>
    <col min="3" max="7" width="9.140625" style="551"/>
    <col min="8" max="8" width="9.28515625" style="551" bestFit="1" customWidth="1"/>
    <col min="9" max="9" width="8.42578125" style="551" customWidth="1"/>
    <col min="10" max="10" width="11.42578125" style="551" customWidth="1"/>
    <col min="11" max="11" width="9.28515625" style="551" bestFit="1" customWidth="1"/>
    <col min="12" max="12" width="12.7109375" style="551" bestFit="1" customWidth="1"/>
    <col min="13" max="13" width="9.28515625" style="551" bestFit="1" customWidth="1"/>
    <col min="14" max="14" width="12.7109375" style="551" bestFit="1" customWidth="1"/>
    <col min="15" max="15" width="9.28515625" style="551" bestFit="1" customWidth="1"/>
    <col min="16" max="16" width="12.7109375" style="551" bestFit="1" customWidth="1"/>
    <col min="17" max="17" width="9.28515625" style="551" bestFit="1" customWidth="1"/>
    <col min="18" max="20" width="12.7109375" style="551" bestFit="1" customWidth="1"/>
    <col min="21" max="16384" width="9.140625" style="551"/>
  </cols>
  <sheetData>
    <row r="5" spans="1:20" ht="12.75" x14ac:dyDescent="0.2">
      <c r="B5" s="579"/>
      <c r="C5" s="579"/>
      <c r="D5" s="579"/>
      <c r="E5" s="579"/>
      <c r="F5" s="579"/>
      <c r="G5" s="579"/>
      <c r="H5" s="580" t="s">
        <v>689</v>
      </c>
      <c r="I5" s="581"/>
      <c r="J5" s="582" t="s">
        <v>1383</v>
      </c>
      <c r="K5" s="582"/>
      <c r="L5" s="582"/>
      <c r="M5" s="582"/>
      <c r="N5" s="582"/>
      <c r="O5" s="582"/>
      <c r="P5" s="582"/>
      <c r="Q5" s="249"/>
      <c r="R5" s="249"/>
      <c r="S5" s="249"/>
      <c r="T5" s="249"/>
    </row>
    <row r="6" spans="1:20" ht="12.75" x14ac:dyDescent="0.2">
      <c r="B6" s="583"/>
      <c r="C6" s="583"/>
      <c r="D6" s="583"/>
      <c r="E6" s="583"/>
      <c r="F6" s="583"/>
      <c r="G6" s="583"/>
      <c r="H6" s="584"/>
      <c r="I6" s="584"/>
      <c r="J6" s="584"/>
      <c r="K6" s="584"/>
      <c r="L6" s="584"/>
      <c r="M6" s="583"/>
      <c r="N6" s="583"/>
      <c r="O6" s="583"/>
      <c r="P6" s="584"/>
      <c r="Q6" s="242"/>
      <c r="R6" s="242"/>
      <c r="S6" s="242"/>
      <c r="T6" s="242"/>
    </row>
    <row r="7" spans="1:20" ht="12.75" x14ac:dyDescent="0.2">
      <c r="B7" s="585"/>
      <c r="C7" s="585"/>
      <c r="D7" s="583"/>
      <c r="E7" s="583"/>
      <c r="F7" s="583"/>
      <c r="G7" s="585"/>
      <c r="H7" s="585"/>
      <c r="I7" s="583"/>
      <c r="J7" s="585" t="s">
        <v>691</v>
      </c>
      <c r="K7" s="583"/>
      <c r="L7" s="583"/>
      <c r="M7" s="586" t="s">
        <v>692</v>
      </c>
      <c r="N7" s="586"/>
      <c r="O7" s="586"/>
      <c r="P7" s="583"/>
      <c r="Q7" s="251"/>
      <c r="R7" s="251"/>
      <c r="S7" s="251"/>
      <c r="T7" s="251"/>
    </row>
    <row r="8" spans="1:20" ht="12.75" x14ac:dyDescent="0.2">
      <c r="B8" s="585"/>
      <c r="C8" s="585"/>
      <c r="D8" s="583"/>
      <c r="E8" s="583"/>
      <c r="F8" s="583"/>
      <c r="G8" s="585"/>
      <c r="H8" s="585"/>
      <c r="I8" s="585"/>
      <c r="J8" s="585"/>
      <c r="K8" s="585"/>
      <c r="L8" s="585"/>
      <c r="M8" s="587" t="s">
        <v>2</v>
      </c>
      <c r="N8" s="587"/>
      <c r="O8" s="587"/>
      <c r="P8" s="583"/>
      <c r="Q8" s="251"/>
      <c r="R8" s="251"/>
      <c r="S8" s="251"/>
      <c r="T8" s="251"/>
    </row>
    <row r="9" spans="1:20" ht="12.75" x14ac:dyDescent="0.2">
      <c r="B9" s="585"/>
      <c r="C9" s="583"/>
      <c r="D9" s="583"/>
      <c r="E9" s="583"/>
      <c r="F9" s="583"/>
      <c r="G9" s="585"/>
      <c r="H9" s="585"/>
      <c r="I9" s="585"/>
      <c r="J9" s="585"/>
      <c r="K9" s="585"/>
      <c r="L9" s="588" t="s">
        <v>693</v>
      </c>
      <c r="M9" s="744" t="s">
        <v>34</v>
      </c>
      <c r="N9" s="744"/>
      <c r="O9" s="585"/>
      <c r="P9" s="585"/>
      <c r="Q9" s="251"/>
      <c r="R9" s="251"/>
      <c r="S9" s="251"/>
      <c r="T9" s="251"/>
    </row>
    <row r="10" spans="1:20" ht="12.75" x14ac:dyDescent="0.2">
      <c r="B10" s="585"/>
      <c r="C10" s="583"/>
      <c r="D10" s="585"/>
      <c r="E10" s="583"/>
      <c r="F10" s="583"/>
      <c r="G10" s="583"/>
      <c r="H10" s="585"/>
      <c r="I10" s="585"/>
      <c r="J10" s="583"/>
      <c r="K10" s="585"/>
      <c r="L10" s="588" t="s">
        <v>694</v>
      </c>
      <c r="M10" s="589" t="s">
        <v>1376</v>
      </c>
      <c r="N10" s="585" t="s">
        <v>695</v>
      </c>
      <c r="O10" s="585"/>
      <c r="P10" s="585"/>
      <c r="Q10" s="251"/>
      <c r="R10" s="251"/>
      <c r="S10" s="251"/>
      <c r="T10" s="251"/>
    </row>
    <row r="11" spans="1:20" ht="12.75" x14ac:dyDescent="0.2"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251"/>
      <c r="R11" s="251"/>
      <c r="S11" s="251"/>
      <c r="T11" s="251"/>
    </row>
    <row r="12" spans="1:20" ht="12.75" x14ac:dyDescent="0.2">
      <c r="B12" s="585"/>
      <c r="C12" s="585"/>
      <c r="D12" s="585"/>
      <c r="E12" s="585"/>
      <c r="F12" s="590" t="s">
        <v>1346</v>
      </c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251"/>
      <c r="R12" s="251"/>
      <c r="S12" s="251"/>
      <c r="T12" s="251"/>
    </row>
    <row r="13" spans="1:20" ht="12.75" x14ac:dyDescent="0.2">
      <c r="B13" s="745"/>
      <c r="C13" s="745"/>
      <c r="D13" s="745"/>
      <c r="E13" s="745"/>
      <c r="F13" s="745"/>
      <c r="G13" s="745"/>
      <c r="H13" s="745"/>
      <c r="I13" s="745"/>
      <c r="J13" s="585"/>
      <c r="K13" s="585"/>
      <c r="L13" s="746" t="s">
        <v>174</v>
      </c>
      <c r="M13" s="746"/>
      <c r="N13" s="746"/>
      <c r="O13" s="746"/>
      <c r="P13" s="746"/>
      <c r="Q13" s="251"/>
      <c r="R13" s="251"/>
      <c r="S13" s="251"/>
      <c r="T13" s="251"/>
    </row>
    <row r="14" spans="1:20" ht="12" thickBot="1" x14ac:dyDescent="0.25"/>
    <row r="15" spans="1:20" ht="15.75" thickBot="1" x14ac:dyDescent="0.25">
      <c r="A15" s="566" t="s">
        <v>1223</v>
      </c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  <c r="T15" s="578"/>
    </row>
    <row r="16" spans="1:20" x14ac:dyDescent="0.2">
      <c r="A16" s="764" t="s">
        <v>146</v>
      </c>
      <c r="B16" s="765"/>
      <c r="C16" s="768" t="s">
        <v>697</v>
      </c>
      <c r="D16" s="769"/>
      <c r="E16" s="769"/>
      <c r="F16" s="769"/>
      <c r="G16" s="765"/>
      <c r="H16" s="739" t="s">
        <v>698</v>
      </c>
      <c r="I16" s="741">
        <v>2022</v>
      </c>
      <c r="J16" s="742"/>
      <c r="K16" s="741">
        <v>2023</v>
      </c>
      <c r="L16" s="742"/>
      <c r="M16" s="741">
        <v>2024</v>
      </c>
      <c r="N16" s="742"/>
      <c r="O16" s="741">
        <v>2025</v>
      </c>
      <c r="P16" s="742"/>
      <c r="Q16" s="741">
        <v>2026</v>
      </c>
      <c r="R16" s="742"/>
      <c r="S16" s="741" t="s">
        <v>179</v>
      </c>
      <c r="T16" s="743"/>
    </row>
    <row r="17" spans="1:20" ht="56.25" x14ac:dyDescent="0.2">
      <c r="A17" s="766"/>
      <c r="B17" s="767"/>
      <c r="C17" s="770"/>
      <c r="D17" s="771"/>
      <c r="E17" s="771"/>
      <c r="F17" s="771"/>
      <c r="G17" s="767"/>
      <c r="H17" s="740"/>
      <c r="I17" s="552" t="s">
        <v>470</v>
      </c>
      <c r="J17" s="552" t="s">
        <v>87</v>
      </c>
      <c r="K17" s="552" t="s">
        <v>470</v>
      </c>
      <c r="L17" s="552" t="s">
        <v>87</v>
      </c>
      <c r="M17" s="552" t="s">
        <v>470</v>
      </c>
      <c r="N17" s="552" t="s">
        <v>87</v>
      </c>
      <c r="O17" s="552" t="s">
        <v>470</v>
      </c>
      <c r="P17" s="552" t="s">
        <v>87</v>
      </c>
      <c r="Q17" s="552" t="s">
        <v>470</v>
      </c>
      <c r="R17" s="552" t="s">
        <v>87</v>
      </c>
      <c r="S17" s="552" t="s">
        <v>470</v>
      </c>
      <c r="T17" s="552" t="s">
        <v>87</v>
      </c>
    </row>
    <row r="18" spans="1:20" ht="12" thickBot="1" x14ac:dyDescent="0.25">
      <c r="A18" s="747">
        <v>1</v>
      </c>
      <c r="B18" s="748"/>
      <c r="C18" s="749">
        <v>2</v>
      </c>
      <c r="D18" s="750"/>
      <c r="E18" s="750"/>
      <c r="F18" s="750"/>
      <c r="G18" s="748"/>
      <c r="H18" s="553">
        <v>3</v>
      </c>
      <c r="I18" s="554">
        <v>4</v>
      </c>
      <c r="J18" s="554">
        <v>5</v>
      </c>
      <c r="K18" s="554">
        <v>6</v>
      </c>
      <c r="L18" s="554">
        <v>7</v>
      </c>
      <c r="M18" s="554">
        <v>8</v>
      </c>
      <c r="N18" s="554">
        <v>9</v>
      </c>
      <c r="O18" s="554">
        <v>10</v>
      </c>
      <c r="P18" s="554">
        <v>11</v>
      </c>
      <c r="Q18" s="554">
        <v>12</v>
      </c>
      <c r="R18" s="554">
        <v>13</v>
      </c>
      <c r="S18" s="554">
        <v>14</v>
      </c>
      <c r="T18" s="554">
        <v>15</v>
      </c>
    </row>
    <row r="19" spans="1:20" ht="12" x14ac:dyDescent="0.2">
      <c r="A19" s="751" t="s">
        <v>1224</v>
      </c>
      <c r="B19" s="752"/>
      <c r="C19" s="752"/>
      <c r="D19" s="752"/>
      <c r="E19" s="752"/>
      <c r="F19" s="752"/>
      <c r="G19" s="753"/>
      <c r="H19" s="555" t="s">
        <v>704</v>
      </c>
      <c r="I19" s="591">
        <f>I20+I77</f>
        <v>8.0560000000000009</v>
      </c>
      <c r="J19" s="592">
        <f t="shared" ref="J19:T19" si="0">J20+J77</f>
        <v>8.0560000000000009</v>
      </c>
      <c r="K19" s="592">
        <f t="shared" si="0"/>
        <v>12.714169999999999</v>
      </c>
      <c r="L19" s="592">
        <f>L20+L77</f>
        <v>10.518329999999999</v>
      </c>
      <c r="M19" s="592">
        <f t="shared" ref="M19:N19" si="1">M20+M77</f>
        <v>11.646166666666668</v>
      </c>
      <c r="N19" s="592">
        <f t="shared" si="1"/>
        <v>20.868794000000001</v>
      </c>
      <c r="O19" s="592">
        <f t="shared" si="0"/>
        <v>17.383833333333335</v>
      </c>
      <c r="P19" s="592">
        <f t="shared" si="0"/>
        <v>17.383833333333335</v>
      </c>
      <c r="Q19" s="591">
        <f t="shared" si="0"/>
        <v>15.696000000000002</v>
      </c>
      <c r="R19" s="591">
        <f t="shared" si="0"/>
        <v>15.696000000000002</v>
      </c>
      <c r="S19" s="592">
        <f>S20+S77</f>
        <v>65.496170000000006</v>
      </c>
      <c r="T19" s="592">
        <f t="shared" si="0"/>
        <v>72.522957333333338</v>
      </c>
    </row>
    <row r="20" spans="1:20" ht="12" x14ac:dyDescent="0.2">
      <c r="A20" s="754" t="s">
        <v>462</v>
      </c>
      <c r="B20" s="755"/>
      <c r="C20" s="756" t="s">
        <v>1225</v>
      </c>
      <c r="D20" s="757"/>
      <c r="E20" s="757"/>
      <c r="F20" s="757"/>
      <c r="G20" s="758"/>
      <c r="H20" s="555" t="s">
        <v>704</v>
      </c>
      <c r="I20" s="591">
        <f>I21+I45+I73+I74</f>
        <v>8.0560000000000009</v>
      </c>
      <c r="J20" s="592">
        <f t="shared" ref="J20:T20" si="2">J21+J45+J73+J74</f>
        <v>8.0560000000000009</v>
      </c>
      <c r="K20" s="592">
        <f t="shared" si="2"/>
        <v>12.714169999999999</v>
      </c>
      <c r="L20" s="592">
        <f t="shared" si="2"/>
        <v>10.518329999999999</v>
      </c>
      <c r="M20" s="592">
        <f t="shared" si="2"/>
        <v>11.646166666666668</v>
      </c>
      <c r="N20" s="592">
        <f t="shared" si="2"/>
        <v>20.868794000000001</v>
      </c>
      <c r="O20" s="592">
        <f t="shared" si="2"/>
        <v>17.383833333333335</v>
      </c>
      <c r="P20" s="592">
        <f t="shared" si="2"/>
        <v>17.383833333333335</v>
      </c>
      <c r="Q20" s="591">
        <f t="shared" si="2"/>
        <v>15.696000000000002</v>
      </c>
      <c r="R20" s="591">
        <f t="shared" si="2"/>
        <v>15.696000000000002</v>
      </c>
      <c r="S20" s="592">
        <f>S21+S45+S73+S74</f>
        <v>65.496170000000006</v>
      </c>
      <c r="T20" s="592">
        <f t="shared" si="2"/>
        <v>72.522957333333338</v>
      </c>
    </row>
    <row r="21" spans="1:20" ht="12" x14ac:dyDescent="0.2">
      <c r="A21" s="759" t="s">
        <v>35</v>
      </c>
      <c r="B21" s="760"/>
      <c r="C21" s="761" t="s">
        <v>1226</v>
      </c>
      <c r="D21" s="762"/>
      <c r="E21" s="762"/>
      <c r="F21" s="762"/>
      <c r="G21" s="763"/>
      <c r="H21" s="557" t="s">
        <v>704</v>
      </c>
      <c r="I21" s="593">
        <f>I22+I40+I44</f>
        <v>6.7510000000000003</v>
      </c>
      <c r="J21" s="594">
        <f t="shared" ref="J21:T21" si="3">J22+J40+J44</f>
        <v>6.7510000000000003</v>
      </c>
      <c r="K21" s="594">
        <f t="shared" si="3"/>
        <v>7.0116699999999996</v>
      </c>
      <c r="L21" s="594">
        <f t="shared" si="3"/>
        <v>7.0116699999999996</v>
      </c>
      <c r="M21" s="593">
        <f t="shared" si="3"/>
        <v>7.3170000000000002</v>
      </c>
      <c r="N21" s="594">
        <f t="shared" si="3"/>
        <v>17.362134000000001</v>
      </c>
      <c r="O21" s="593">
        <f t="shared" si="3"/>
        <v>7.6139999999999999</v>
      </c>
      <c r="P21" s="593">
        <f t="shared" si="3"/>
        <v>7.6139999999999999</v>
      </c>
      <c r="Q21" s="593">
        <f t="shared" si="3"/>
        <v>7.976</v>
      </c>
      <c r="R21" s="593">
        <f t="shared" si="3"/>
        <v>7.976</v>
      </c>
      <c r="S21" s="594">
        <f t="shared" si="3"/>
        <v>36.669670000000004</v>
      </c>
      <c r="T21" s="594">
        <f t="shared" si="3"/>
        <v>46.714804000000001</v>
      </c>
    </row>
    <row r="22" spans="1:20" ht="12" x14ac:dyDescent="0.2">
      <c r="A22" s="772" t="s">
        <v>56</v>
      </c>
      <c r="B22" s="773"/>
      <c r="C22" s="780" t="s">
        <v>1227</v>
      </c>
      <c r="D22" s="781"/>
      <c r="E22" s="781"/>
      <c r="F22" s="781"/>
      <c r="G22" s="782"/>
      <c r="H22" s="559" t="s">
        <v>704</v>
      </c>
      <c r="I22" s="595">
        <f>I28</f>
        <v>6.7510000000000003</v>
      </c>
      <c r="J22" s="596">
        <f t="shared" ref="J22:T22" si="4">J28</f>
        <v>6.7510000000000003</v>
      </c>
      <c r="K22" s="596">
        <f t="shared" si="4"/>
        <v>7.0116699999999996</v>
      </c>
      <c r="L22" s="596">
        <f t="shared" si="4"/>
        <v>7.0116699999999996</v>
      </c>
      <c r="M22" s="595">
        <f t="shared" si="4"/>
        <v>7.3170000000000002</v>
      </c>
      <c r="N22" s="596">
        <f t="shared" si="4"/>
        <v>17.362134000000001</v>
      </c>
      <c r="O22" s="595">
        <f t="shared" si="4"/>
        <v>7.6139999999999999</v>
      </c>
      <c r="P22" s="595">
        <f t="shared" si="4"/>
        <v>7.6139999999999999</v>
      </c>
      <c r="Q22" s="595">
        <f t="shared" si="4"/>
        <v>7.976</v>
      </c>
      <c r="R22" s="595">
        <f t="shared" si="4"/>
        <v>7.976</v>
      </c>
      <c r="S22" s="596">
        <f t="shared" si="4"/>
        <v>36.669670000000004</v>
      </c>
      <c r="T22" s="596">
        <f t="shared" si="4"/>
        <v>46.714804000000001</v>
      </c>
    </row>
    <row r="23" spans="1:20" ht="12" x14ac:dyDescent="0.2">
      <c r="A23" s="772" t="s">
        <v>57</v>
      </c>
      <c r="B23" s="773"/>
      <c r="C23" s="777" t="s">
        <v>1228</v>
      </c>
      <c r="D23" s="778"/>
      <c r="E23" s="778"/>
      <c r="F23" s="778"/>
      <c r="G23" s="779"/>
      <c r="H23" s="559" t="s">
        <v>704</v>
      </c>
      <c r="I23" s="595"/>
      <c r="J23" s="596"/>
      <c r="K23" s="596"/>
      <c r="L23" s="595"/>
      <c r="M23" s="595"/>
      <c r="N23" s="596"/>
      <c r="O23" s="595"/>
      <c r="P23" s="595"/>
      <c r="Q23" s="595"/>
      <c r="R23" s="595"/>
      <c r="S23" s="595"/>
      <c r="T23" s="597"/>
    </row>
    <row r="24" spans="1:20" ht="12" x14ac:dyDescent="0.2">
      <c r="A24" s="772" t="s">
        <v>1229</v>
      </c>
      <c r="B24" s="773"/>
      <c r="C24" s="774" t="s">
        <v>706</v>
      </c>
      <c r="D24" s="775"/>
      <c r="E24" s="775"/>
      <c r="F24" s="775"/>
      <c r="G24" s="776"/>
      <c r="H24" s="559" t="s">
        <v>704</v>
      </c>
      <c r="I24" s="595"/>
      <c r="J24" s="596"/>
      <c r="K24" s="596"/>
      <c r="L24" s="595"/>
      <c r="M24" s="595"/>
      <c r="N24" s="596"/>
      <c r="O24" s="595"/>
      <c r="P24" s="595"/>
      <c r="Q24" s="595"/>
      <c r="R24" s="595"/>
      <c r="S24" s="595"/>
      <c r="T24" s="597"/>
    </row>
    <row r="25" spans="1:20" ht="12" x14ac:dyDescent="0.2">
      <c r="A25" s="772" t="s">
        <v>1230</v>
      </c>
      <c r="B25" s="773"/>
      <c r="C25" s="774" t="s">
        <v>707</v>
      </c>
      <c r="D25" s="775"/>
      <c r="E25" s="775"/>
      <c r="F25" s="775"/>
      <c r="G25" s="776"/>
      <c r="H25" s="559" t="s">
        <v>704</v>
      </c>
      <c r="I25" s="595"/>
      <c r="J25" s="596"/>
      <c r="K25" s="596"/>
      <c r="L25" s="595"/>
      <c r="M25" s="595"/>
      <c r="N25" s="596"/>
      <c r="O25" s="595"/>
      <c r="P25" s="595"/>
      <c r="Q25" s="595"/>
      <c r="R25" s="595"/>
      <c r="S25" s="595"/>
      <c r="T25" s="597"/>
    </row>
    <row r="26" spans="1:20" ht="12" x14ac:dyDescent="0.2">
      <c r="A26" s="772" t="s">
        <v>1231</v>
      </c>
      <c r="B26" s="773"/>
      <c r="C26" s="774" t="s">
        <v>708</v>
      </c>
      <c r="D26" s="775"/>
      <c r="E26" s="775"/>
      <c r="F26" s="775"/>
      <c r="G26" s="776"/>
      <c r="H26" s="559" t="s">
        <v>704</v>
      </c>
      <c r="I26" s="595"/>
      <c r="J26" s="596"/>
      <c r="K26" s="596"/>
      <c r="L26" s="595"/>
      <c r="M26" s="595"/>
      <c r="N26" s="596"/>
      <c r="O26" s="595"/>
      <c r="P26" s="595"/>
      <c r="Q26" s="595"/>
      <c r="R26" s="595"/>
      <c r="S26" s="595"/>
      <c r="T26" s="597"/>
    </row>
    <row r="27" spans="1:20" ht="12" x14ac:dyDescent="0.2">
      <c r="A27" s="772" t="s">
        <v>58</v>
      </c>
      <c r="B27" s="773"/>
      <c r="C27" s="777" t="s">
        <v>1232</v>
      </c>
      <c r="D27" s="778"/>
      <c r="E27" s="778"/>
      <c r="F27" s="778"/>
      <c r="G27" s="779"/>
      <c r="H27" s="559" t="s">
        <v>704</v>
      </c>
      <c r="I27" s="595"/>
      <c r="J27" s="596"/>
      <c r="K27" s="596"/>
      <c r="L27" s="595"/>
      <c r="M27" s="595"/>
      <c r="N27" s="596"/>
      <c r="O27" s="595"/>
      <c r="P27" s="595"/>
      <c r="Q27" s="595"/>
      <c r="R27" s="595"/>
      <c r="S27" s="595"/>
      <c r="T27" s="597"/>
    </row>
    <row r="28" spans="1:20" ht="12" x14ac:dyDescent="0.2">
      <c r="A28" s="759" t="s">
        <v>59</v>
      </c>
      <c r="B28" s="760"/>
      <c r="C28" s="786" t="s">
        <v>1233</v>
      </c>
      <c r="D28" s="787"/>
      <c r="E28" s="787"/>
      <c r="F28" s="787"/>
      <c r="G28" s="788"/>
      <c r="H28" s="557" t="s">
        <v>704</v>
      </c>
      <c r="I28" s="593">
        <v>6.7510000000000003</v>
      </c>
      <c r="J28" s="593">
        <v>6.7510000000000003</v>
      </c>
      <c r="K28" s="594">
        <v>7.0116699999999996</v>
      </c>
      <c r="L28" s="594">
        <v>7.0116699999999996</v>
      </c>
      <c r="M28" s="593">
        <v>7.3170000000000002</v>
      </c>
      <c r="N28" s="594">
        <v>17.362134000000001</v>
      </c>
      <c r="O28" s="593">
        <v>7.6139999999999999</v>
      </c>
      <c r="P28" s="593">
        <v>7.6139999999999999</v>
      </c>
      <c r="Q28" s="593">
        <v>7.976</v>
      </c>
      <c r="R28" s="593">
        <v>7.976</v>
      </c>
      <c r="S28" s="594">
        <f>I28+K28+M28+O28+Q28</f>
        <v>36.669670000000004</v>
      </c>
      <c r="T28" s="594">
        <f>J28+L28+N28+P28+R28</f>
        <v>46.714804000000001</v>
      </c>
    </row>
    <row r="29" spans="1:20" ht="12" x14ac:dyDescent="0.2">
      <c r="A29" s="772" t="s">
        <v>1234</v>
      </c>
      <c r="B29" s="773"/>
      <c r="C29" s="777" t="s">
        <v>1235</v>
      </c>
      <c r="D29" s="778"/>
      <c r="E29" s="778"/>
      <c r="F29" s="778"/>
      <c r="G29" s="779"/>
      <c r="H29" s="559" t="s">
        <v>704</v>
      </c>
      <c r="I29" s="595"/>
      <c r="J29" s="595"/>
      <c r="K29" s="596"/>
      <c r="L29" s="595"/>
      <c r="M29" s="595"/>
      <c r="N29" s="595"/>
      <c r="O29" s="595"/>
      <c r="P29" s="595"/>
      <c r="Q29" s="595"/>
      <c r="R29" s="595"/>
      <c r="S29" s="595"/>
      <c r="T29" s="597"/>
    </row>
    <row r="30" spans="1:20" ht="12" x14ac:dyDescent="0.2">
      <c r="A30" s="772" t="s">
        <v>1236</v>
      </c>
      <c r="B30" s="773"/>
      <c r="C30" s="777" t="s">
        <v>1237</v>
      </c>
      <c r="D30" s="778"/>
      <c r="E30" s="778"/>
      <c r="F30" s="778"/>
      <c r="G30" s="779"/>
      <c r="H30" s="559" t="s">
        <v>704</v>
      </c>
      <c r="I30" s="595"/>
      <c r="J30" s="595"/>
      <c r="K30" s="596"/>
      <c r="L30" s="595"/>
      <c r="M30" s="595"/>
      <c r="N30" s="595"/>
      <c r="O30" s="595"/>
      <c r="P30" s="595"/>
      <c r="Q30" s="595"/>
      <c r="R30" s="595"/>
      <c r="S30" s="595"/>
      <c r="T30" s="597"/>
    </row>
    <row r="31" spans="1:20" ht="12" x14ac:dyDescent="0.2">
      <c r="A31" s="772" t="s">
        <v>1238</v>
      </c>
      <c r="B31" s="773"/>
      <c r="C31" s="774" t="s">
        <v>1239</v>
      </c>
      <c r="D31" s="775"/>
      <c r="E31" s="775"/>
      <c r="F31" s="775"/>
      <c r="G31" s="776"/>
      <c r="H31" s="559" t="s">
        <v>704</v>
      </c>
      <c r="I31" s="595"/>
      <c r="J31" s="595"/>
      <c r="K31" s="596"/>
      <c r="L31" s="595"/>
      <c r="M31" s="595"/>
      <c r="N31" s="595"/>
      <c r="O31" s="595"/>
      <c r="P31" s="595"/>
      <c r="Q31" s="595"/>
      <c r="R31" s="595"/>
      <c r="S31" s="595"/>
      <c r="T31" s="597"/>
    </row>
    <row r="32" spans="1:20" ht="12" x14ac:dyDescent="0.2">
      <c r="A32" s="772" t="s">
        <v>1240</v>
      </c>
      <c r="B32" s="773"/>
      <c r="C32" s="783" t="s">
        <v>1241</v>
      </c>
      <c r="D32" s="784"/>
      <c r="E32" s="784"/>
      <c r="F32" s="784"/>
      <c r="G32" s="785"/>
      <c r="H32" s="559" t="s">
        <v>704</v>
      </c>
      <c r="I32" s="595"/>
      <c r="J32" s="595"/>
      <c r="K32" s="596"/>
      <c r="L32" s="595"/>
      <c r="M32" s="595"/>
      <c r="N32" s="595"/>
      <c r="O32" s="595"/>
      <c r="P32" s="595"/>
      <c r="Q32" s="595"/>
      <c r="R32" s="595"/>
      <c r="S32" s="595"/>
      <c r="T32" s="597"/>
    </row>
    <row r="33" spans="1:20" ht="12" x14ac:dyDescent="0.2">
      <c r="A33" s="772" t="s">
        <v>1242</v>
      </c>
      <c r="B33" s="773"/>
      <c r="C33" s="774" t="s">
        <v>1243</v>
      </c>
      <c r="D33" s="775"/>
      <c r="E33" s="775"/>
      <c r="F33" s="775"/>
      <c r="G33" s="776"/>
      <c r="H33" s="559" t="s">
        <v>704</v>
      </c>
      <c r="I33" s="595"/>
      <c r="J33" s="595"/>
      <c r="K33" s="596"/>
      <c r="L33" s="595"/>
      <c r="M33" s="595"/>
      <c r="N33" s="595"/>
      <c r="O33" s="595"/>
      <c r="P33" s="595"/>
      <c r="Q33" s="595"/>
      <c r="R33" s="595"/>
      <c r="S33" s="595"/>
      <c r="T33" s="597"/>
    </row>
    <row r="34" spans="1:20" ht="12" x14ac:dyDescent="0.2">
      <c r="A34" s="772" t="s">
        <v>1244</v>
      </c>
      <c r="B34" s="773"/>
      <c r="C34" s="783" t="s">
        <v>1241</v>
      </c>
      <c r="D34" s="784"/>
      <c r="E34" s="784"/>
      <c r="F34" s="784"/>
      <c r="G34" s="785"/>
      <c r="H34" s="559" t="s">
        <v>704</v>
      </c>
      <c r="I34" s="595"/>
      <c r="J34" s="595"/>
      <c r="K34" s="596"/>
      <c r="L34" s="595"/>
      <c r="M34" s="595"/>
      <c r="N34" s="595"/>
      <c r="O34" s="595"/>
      <c r="P34" s="595"/>
      <c r="Q34" s="595"/>
      <c r="R34" s="595"/>
      <c r="S34" s="595"/>
      <c r="T34" s="597"/>
    </row>
    <row r="35" spans="1:20" ht="12" x14ac:dyDescent="0.2">
      <c r="A35" s="772" t="s">
        <v>1245</v>
      </c>
      <c r="B35" s="773"/>
      <c r="C35" s="777" t="s">
        <v>1246</v>
      </c>
      <c r="D35" s="778"/>
      <c r="E35" s="778"/>
      <c r="F35" s="778"/>
      <c r="G35" s="779"/>
      <c r="H35" s="559" t="s">
        <v>704</v>
      </c>
      <c r="I35" s="595"/>
      <c r="J35" s="595"/>
      <c r="K35" s="596"/>
      <c r="L35" s="595"/>
      <c r="M35" s="595"/>
      <c r="N35" s="595"/>
      <c r="O35" s="595"/>
      <c r="P35" s="595"/>
      <c r="Q35" s="595"/>
      <c r="R35" s="595"/>
      <c r="S35" s="595"/>
      <c r="T35" s="597"/>
    </row>
    <row r="36" spans="1:20" ht="12" x14ac:dyDescent="0.2">
      <c r="A36" s="772" t="s">
        <v>1247</v>
      </c>
      <c r="B36" s="773"/>
      <c r="C36" s="777" t="s">
        <v>1059</v>
      </c>
      <c r="D36" s="778"/>
      <c r="E36" s="778"/>
      <c r="F36" s="778"/>
      <c r="G36" s="779"/>
      <c r="H36" s="559" t="s">
        <v>704</v>
      </c>
      <c r="I36" s="595"/>
      <c r="J36" s="595"/>
      <c r="K36" s="596"/>
      <c r="L36" s="595"/>
      <c r="M36" s="595"/>
      <c r="N36" s="595"/>
      <c r="O36" s="595"/>
      <c r="P36" s="595"/>
      <c r="Q36" s="595"/>
      <c r="R36" s="595"/>
      <c r="S36" s="595"/>
      <c r="T36" s="597"/>
    </row>
    <row r="37" spans="1:20" ht="12" x14ac:dyDescent="0.2">
      <c r="A37" s="772" t="s">
        <v>1248</v>
      </c>
      <c r="B37" s="773"/>
      <c r="C37" s="777" t="s">
        <v>1249</v>
      </c>
      <c r="D37" s="778"/>
      <c r="E37" s="778"/>
      <c r="F37" s="778"/>
      <c r="G37" s="779"/>
      <c r="H37" s="559" t="s">
        <v>704</v>
      </c>
      <c r="I37" s="595"/>
      <c r="J37" s="595"/>
      <c r="K37" s="596"/>
      <c r="L37" s="595"/>
      <c r="M37" s="595"/>
      <c r="N37" s="595"/>
      <c r="O37" s="595"/>
      <c r="P37" s="595"/>
      <c r="Q37" s="595"/>
      <c r="R37" s="595"/>
      <c r="S37" s="595"/>
      <c r="T37" s="597"/>
    </row>
    <row r="38" spans="1:20" ht="12" x14ac:dyDescent="0.2">
      <c r="A38" s="772" t="s">
        <v>1250</v>
      </c>
      <c r="B38" s="773"/>
      <c r="C38" s="774" t="s">
        <v>721</v>
      </c>
      <c r="D38" s="775"/>
      <c r="E38" s="775"/>
      <c r="F38" s="775"/>
      <c r="G38" s="776"/>
      <c r="H38" s="559" t="s">
        <v>704</v>
      </c>
      <c r="I38" s="595"/>
      <c r="J38" s="595"/>
      <c r="K38" s="596"/>
      <c r="L38" s="595"/>
      <c r="M38" s="595"/>
      <c r="N38" s="595"/>
      <c r="O38" s="595"/>
      <c r="P38" s="595"/>
      <c r="Q38" s="595"/>
      <c r="R38" s="595"/>
      <c r="S38" s="595"/>
      <c r="T38" s="597"/>
    </row>
    <row r="39" spans="1:20" ht="12" x14ac:dyDescent="0.2">
      <c r="A39" s="772" t="s">
        <v>1251</v>
      </c>
      <c r="B39" s="773"/>
      <c r="C39" s="774" t="s">
        <v>723</v>
      </c>
      <c r="D39" s="775"/>
      <c r="E39" s="775"/>
      <c r="F39" s="775"/>
      <c r="G39" s="776"/>
      <c r="H39" s="559" t="s">
        <v>704</v>
      </c>
      <c r="I39" s="595"/>
      <c r="J39" s="595"/>
      <c r="K39" s="596"/>
      <c r="L39" s="595"/>
      <c r="M39" s="595"/>
      <c r="N39" s="595"/>
      <c r="O39" s="595"/>
      <c r="P39" s="595"/>
      <c r="Q39" s="595"/>
      <c r="R39" s="595"/>
      <c r="S39" s="595"/>
      <c r="T39" s="597"/>
    </row>
    <row r="40" spans="1:20" ht="12" x14ac:dyDescent="0.2">
      <c r="A40" s="772" t="s">
        <v>60</v>
      </c>
      <c r="B40" s="773"/>
      <c r="C40" s="780" t="s">
        <v>1252</v>
      </c>
      <c r="D40" s="781"/>
      <c r="E40" s="781"/>
      <c r="F40" s="781"/>
      <c r="G40" s="782"/>
      <c r="H40" s="559" t="s">
        <v>704</v>
      </c>
      <c r="I40" s="595"/>
      <c r="J40" s="595"/>
      <c r="K40" s="596"/>
      <c r="L40" s="595"/>
      <c r="M40" s="595"/>
      <c r="N40" s="595"/>
      <c r="O40" s="595"/>
      <c r="P40" s="595"/>
      <c r="Q40" s="595"/>
      <c r="R40" s="595"/>
      <c r="S40" s="595"/>
      <c r="T40" s="597"/>
    </row>
    <row r="41" spans="1:20" ht="12" x14ac:dyDescent="0.2">
      <c r="A41" s="772" t="s">
        <v>61</v>
      </c>
      <c r="B41" s="773"/>
      <c r="C41" s="777" t="s">
        <v>706</v>
      </c>
      <c r="D41" s="778"/>
      <c r="E41" s="778"/>
      <c r="F41" s="778"/>
      <c r="G41" s="779"/>
      <c r="H41" s="559" t="s">
        <v>704</v>
      </c>
      <c r="I41" s="595"/>
      <c r="J41" s="595"/>
      <c r="K41" s="596"/>
      <c r="L41" s="595"/>
      <c r="M41" s="595"/>
      <c r="N41" s="595"/>
      <c r="O41" s="595"/>
      <c r="P41" s="595"/>
      <c r="Q41" s="595"/>
      <c r="R41" s="595"/>
      <c r="S41" s="595"/>
      <c r="T41" s="597"/>
    </row>
    <row r="42" spans="1:20" ht="12" x14ac:dyDescent="0.2">
      <c r="A42" s="772" t="s">
        <v>62</v>
      </c>
      <c r="B42" s="773"/>
      <c r="C42" s="777" t="s">
        <v>707</v>
      </c>
      <c r="D42" s="778"/>
      <c r="E42" s="778"/>
      <c r="F42" s="778"/>
      <c r="G42" s="779"/>
      <c r="H42" s="559" t="s">
        <v>704</v>
      </c>
      <c r="I42" s="595"/>
      <c r="J42" s="595"/>
      <c r="K42" s="596"/>
      <c r="L42" s="595"/>
      <c r="M42" s="595"/>
      <c r="N42" s="595"/>
      <c r="O42" s="595"/>
      <c r="P42" s="595"/>
      <c r="Q42" s="595"/>
      <c r="R42" s="595"/>
      <c r="S42" s="595"/>
      <c r="T42" s="597"/>
    </row>
    <row r="43" spans="1:20" ht="12" x14ac:dyDescent="0.2">
      <c r="A43" s="772" t="s">
        <v>1253</v>
      </c>
      <c r="B43" s="773"/>
      <c r="C43" s="777" t="s">
        <v>708</v>
      </c>
      <c r="D43" s="778"/>
      <c r="E43" s="778"/>
      <c r="F43" s="778"/>
      <c r="G43" s="779"/>
      <c r="H43" s="559" t="s">
        <v>704</v>
      </c>
      <c r="I43" s="595"/>
      <c r="J43" s="595"/>
      <c r="K43" s="596"/>
      <c r="L43" s="595"/>
      <c r="M43" s="595"/>
      <c r="N43" s="595"/>
      <c r="O43" s="595"/>
      <c r="P43" s="595"/>
      <c r="Q43" s="595"/>
      <c r="R43" s="595"/>
      <c r="S43" s="595"/>
      <c r="T43" s="597"/>
    </row>
    <row r="44" spans="1:20" ht="12" x14ac:dyDescent="0.2">
      <c r="A44" s="759" t="s">
        <v>63</v>
      </c>
      <c r="B44" s="760"/>
      <c r="C44" s="789" t="s">
        <v>1254</v>
      </c>
      <c r="D44" s="790"/>
      <c r="E44" s="790"/>
      <c r="F44" s="790"/>
      <c r="G44" s="791"/>
      <c r="H44" s="557" t="s">
        <v>704</v>
      </c>
      <c r="I44" s="593"/>
      <c r="J44" s="593"/>
      <c r="K44" s="594"/>
      <c r="L44" s="593"/>
      <c r="M44" s="593"/>
      <c r="N44" s="593"/>
      <c r="O44" s="593"/>
      <c r="P44" s="593"/>
      <c r="Q44" s="593"/>
      <c r="R44" s="593"/>
      <c r="S44" s="593"/>
      <c r="T44" s="598"/>
    </row>
    <row r="45" spans="1:20" ht="12" x14ac:dyDescent="0.2">
      <c r="A45" s="759" t="s">
        <v>36</v>
      </c>
      <c r="B45" s="760"/>
      <c r="C45" s="761" t="s">
        <v>1255</v>
      </c>
      <c r="D45" s="762"/>
      <c r="E45" s="762"/>
      <c r="F45" s="762"/>
      <c r="G45" s="763"/>
      <c r="H45" s="557" t="s">
        <v>704</v>
      </c>
      <c r="I45" s="593">
        <f t="shared" ref="I45:R45" si="5">I46+I59+I60</f>
        <v>1.3050000000000002</v>
      </c>
      <c r="J45" s="594">
        <f t="shared" si="5"/>
        <v>1.3050000000000002</v>
      </c>
      <c r="K45" s="594">
        <f>K46+K59+K60</f>
        <v>5.7024999999999997</v>
      </c>
      <c r="L45" s="594">
        <f t="shared" si="5"/>
        <v>3.5066600000000001</v>
      </c>
      <c r="M45" s="594">
        <f t="shared" si="5"/>
        <v>4.3291666666666675</v>
      </c>
      <c r="N45" s="594">
        <f t="shared" si="5"/>
        <v>3.5066600000000001</v>
      </c>
      <c r="O45" s="594">
        <f t="shared" si="5"/>
        <v>9.7698333333333345</v>
      </c>
      <c r="P45" s="594">
        <f t="shared" si="5"/>
        <v>9.7698333333333345</v>
      </c>
      <c r="Q45" s="594">
        <f t="shared" si="5"/>
        <v>7.7200000000000006</v>
      </c>
      <c r="R45" s="594">
        <f t="shared" si="5"/>
        <v>7.7200000000000006</v>
      </c>
      <c r="S45" s="594">
        <f t="shared" ref="S45:S46" si="6">I45+K45+M45+O45+Q45</f>
        <v>28.826500000000003</v>
      </c>
      <c r="T45" s="594">
        <f t="shared" ref="T45:T46" si="7">J45+L45+N45+P45+R45</f>
        <v>25.808153333333337</v>
      </c>
    </row>
    <row r="46" spans="1:20" ht="12" x14ac:dyDescent="0.2">
      <c r="A46" s="759" t="s">
        <v>53</v>
      </c>
      <c r="B46" s="760"/>
      <c r="C46" s="789" t="s">
        <v>1256</v>
      </c>
      <c r="D46" s="790"/>
      <c r="E46" s="790"/>
      <c r="F46" s="790"/>
      <c r="G46" s="791"/>
      <c r="H46" s="557" t="s">
        <v>704</v>
      </c>
      <c r="I46" s="593">
        <f>1.566/1.2</f>
        <v>1.3050000000000002</v>
      </c>
      <c r="J46" s="593">
        <f>1.566/1.2</f>
        <v>1.3050000000000002</v>
      </c>
      <c r="K46" s="593">
        <f>5.808/1.2</f>
        <v>4.84</v>
      </c>
      <c r="L46" s="594">
        <v>3.5066600000000001</v>
      </c>
      <c r="M46" s="594">
        <f>5.195/1.2</f>
        <v>4.3291666666666675</v>
      </c>
      <c r="N46" s="594">
        <v>3.5066600000000001</v>
      </c>
      <c r="O46" s="594">
        <f>4.447/1.2</f>
        <v>3.7058333333333335</v>
      </c>
      <c r="P46" s="594">
        <f>4.447/1.2</f>
        <v>3.7058333333333335</v>
      </c>
      <c r="Q46" s="593">
        <v>5.5540000000000003</v>
      </c>
      <c r="R46" s="593">
        <v>5.5540000000000003</v>
      </c>
      <c r="S46" s="594">
        <f t="shared" si="6"/>
        <v>19.734000000000002</v>
      </c>
      <c r="T46" s="594">
        <f t="shared" si="7"/>
        <v>17.578153333333333</v>
      </c>
    </row>
    <row r="47" spans="1:20" ht="12" x14ac:dyDescent="0.2">
      <c r="A47" s="772" t="s">
        <v>38</v>
      </c>
      <c r="B47" s="773"/>
      <c r="C47" s="777" t="s">
        <v>1257</v>
      </c>
      <c r="D47" s="778"/>
      <c r="E47" s="778"/>
      <c r="F47" s="778"/>
      <c r="G47" s="779"/>
      <c r="H47" s="559" t="s">
        <v>704</v>
      </c>
      <c r="I47" s="595"/>
      <c r="J47" s="596"/>
      <c r="K47" s="595"/>
      <c r="L47" s="596"/>
      <c r="M47" s="596"/>
      <c r="N47" s="595"/>
      <c r="O47" s="595"/>
      <c r="P47" s="596"/>
      <c r="Q47" s="595"/>
      <c r="R47" s="595"/>
      <c r="S47" s="596"/>
      <c r="T47" s="597"/>
    </row>
    <row r="48" spans="1:20" ht="12" x14ac:dyDescent="0.2">
      <c r="A48" s="772" t="s">
        <v>40</v>
      </c>
      <c r="B48" s="773"/>
      <c r="C48" s="777" t="s">
        <v>706</v>
      </c>
      <c r="D48" s="778"/>
      <c r="E48" s="778"/>
      <c r="F48" s="778"/>
      <c r="G48" s="779"/>
      <c r="H48" s="559" t="s">
        <v>704</v>
      </c>
      <c r="I48" s="595"/>
      <c r="J48" s="596"/>
      <c r="K48" s="595"/>
      <c r="L48" s="596"/>
      <c r="M48" s="596"/>
      <c r="N48" s="595"/>
      <c r="O48" s="595"/>
      <c r="P48" s="596"/>
      <c r="Q48" s="595"/>
      <c r="R48" s="595"/>
      <c r="S48" s="596"/>
      <c r="T48" s="597"/>
    </row>
    <row r="49" spans="1:20" ht="12" x14ac:dyDescent="0.2">
      <c r="A49" s="772" t="s">
        <v>465</v>
      </c>
      <c r="B49" s="773"/>
      <c r="C49" s="777" t="s">
        <v>707</v>
      </c>
      <c r="D49" s="778"/>
      <c r="E49" s="778"/>
      <c r="F49" s="778"/>
      <c r="G49" s="779"/>
      <c r="H49" s="559" t="s">
        <v>704</v>
      </c>
      <c r="I49" s="595"/>
      <c r="J49" s="596"/>
      <c r="K49" s="595"/>
      <c r="L49" s="596"/>
      <c r="M49" s="596"/>
      <c r="N49" s="595"/>
      <c r="O49" s="595"/>
      <c r="P49" s="596"/>
      <c r="Q49" s="595"/>
      <c r="R49" s="595"/>
      <c r="S49" s="596"/>
      <c r="T49" s="597"/>
    </row>
    <row r="50" spans="1:20" ht="12" x14ac:dyDescent="0.2">
      <c r="A50" s="772" t="s">
        <v>615</v>
      </c>
      <c r="B50" s="773"/>
      <c r="C50" s="777" t="s">
        <v>708</v>
      </c>
      <c r="D50" s="778"/>
      <c r="E50" s="778"/>
      <c r="F50" s="778"/>
      <c r="G50" s="779"/>
      <c r="H50" s="559" t="s">
        <v>704</v>
      </c>
      <c r="I50" s="595"/>
      <c r="J50" s="596"/>
      <c r="K50" s="595"/>
      <c r="L50" s="596"/>
      <c r="M50" s="596"/>
      <c r="N50" s="595"/>
      <c r="O50" s="595"/>
      <c r="P50" s="596"/>
      <c r="Q50" s="595"/>
      <c r="R50" s="595"/>
      <c r="S50" s="596"/>
      <c r="T50" s="597"/>
    </row>
    <row r="51" spans="1:20" ht="12" x14ac:dyDescent="0.2">
      <c r="A51" s="772" t="s">
        <v>64</v>
      </c>
      <c r="B51" s="773"/>
      <c r="C51" s="777" t="s">
        <v>1045</v>
      </c>
      <c r="D51" s="778"/>
      <c r="E51" s="778"/>
      <c r="F51" s="778"/>
      <c r="G51" s="779"/>
      <c r="H51" s="559" t="s">
        <v>704</v>
      </c>
      <c r="I51" s="595"/>
      <c r="J51" s="596"/>
      <c r="K51" s="595"/>
      <c r="L51" s="596"/>
      <c r="M51" s="596"/>
      <c r="N51" s="595"/>
      <c r="O51" s="595"/>
      <c r="P51" s="596"/>
      <c r="Q51" s="595"/>
      <c r="R51" s="595"/>
      <c r="S51" s="596"/>
      <c r="T51" s="597"/>
    </row>
    <row r="52" spans="1:20" ht="12" x14ac:dyDescent="0.2">
      <c r="A52" s="759" t="s">
        <v>1258</v>
      </c>
      <c r="B52" s="760"/>
      <c r="C52" s="786" t="s">
        <v>1048</v>
      </c>
      <c r="D52" s="787"/>
      <c r="E52" s="787"/>
      <c r="F52" s="787"/>
      <c r="G52" s="788"/>
      <c r="H52" s="557" t="s">
        <v>704</v>
      </c>
      <c r="I52" s="593">
        <f>I46</f>
        <v>1.3050000000000002</v>
      </c>
      <c r="J52" s="594">
        <f t="shared" ref="J52:R52" si="8">J46</f>
        <v>1.3050000000000002</v>
      </c>
      <c r="K52" s="593">
        <f t="shared" si="8"/>
        <v>4.84</v>
      </c>
      <c r="L52" s="594">
        <f t="shared" si="8"/>
        <v>3.5066600000000001</v>
      </c>
      <c r="M52" s="594">
        <f t="shared" si="8"/>
        <v>4.3291666666666675</v>
      </c>
      <c r="N52" s="593">
        <f t="shared" si="8"/>
        <v>3.5066600000000001</v>
      </c>
      <c r="O52" s="594">
        <f t="shared" si="8"/>
        <v>3.7058333333333335</v>
      </c>
      <c r="P52" s="594">
        <f t="shared" si="8"/>
        <v>3.7058333333333335</v>
      </c>
      <c r="Q52" s="593">
        <f t="shared" si="8"/>
        <v>5.5540000000000003</v>
      </c>
      <c r="R52" s="593">
        <f t="shared" si="8"/>
        <v>5.5540000000000003</v>
      </c>
      <c r="S52" s="594">
        <f t="shared" ref="S52" si="9">I52+K52+M52+O52+Q52</f>
        <v>19.734000000000002</v>
      </c>
      <c r="T52" s="594">
        <f t="shared" ref="T52" si="10">J52+L52+N52+P52+R52</f>
        <v>17.578153333333333</v>
      </c>
    </row>
    <row r="53" spans="1:20" ht="12" x14ac:dyDescent="0.2">
      <c r="A53" s="772" t="s">
        <v>1259</v>
      </c>
      <c r="B53" s="773"/>
      <c r="C53" s="777" t="s">
        <v>1051</v>
      </c>
      <c r="D53" s="778"/>
      <c r="E53" s="778"/>
      <c r="F53" s="778"/>
      <c r="G53" s="779"/>
      <c r="H53" s="559" t="s">
        <v>704</v>
      </c>
      <c r="I53" s="595"/>
      <c r="J53" s="595"/>
      <c r="K53" s="595"/>
      <c r="L53" s="595"/>
      <c r="M53" s="595"/>
      <c r="N53" s="595"/>
      <c r="O53" s="595"/>
      <c r="P53" s="595"/>
      <c r="Q53" s="595"/>
      <c r="R53" s="595"/>
      <c r="S53" s="595"/>
      <c r="T53" s="597"/>
    </row>
    <row r="54" spans="1:20" ht="12" x14ac:dyDescent="0.2">
      <c r="A54" s="772" t="s">
        <v>1260</v>
      </c>
      <c r="B54" s="773"/>
      <c r="C54" s="777" t="s">
        <v>1057</v>
      </c>
      <c r="D54" s="778"/>
      <c r="E54" s="778"/>
      <c r="F54" s="778"/>
      <c r="G54" s="779"/>
      <c r="H54" s="559" t="s">
        <v>704</v>
      </c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7"/>
    </row>
    <row r="55" spans="1:20" ht="12" x14ac:dyDescent="0.2">
      <c r="A55" s="772" t="s">
        <v>1261</v>
      </c>
      <c r="B55" s="773"/>
      <c r="C55" s="777" t="s">
        <v>1059</v>
      </c>
      <c r="D55" s="778"/>
      <c r="E55" s="778"/>
      <c r="F55" s="778"/>
      <c r="G55" s="779"/>
      <c r="H55" s="559" t="s">
        <v>704</v>
      </c>
      <c r="I55" s="595"/>
      <c r="J55" s="595"/>
      <c r="K55" s="595"/>
      <c r="L55" s="595"/>
      <c r="M55" s="595"/>
      <c r="N55" s="595"/>
      <c r="O55" s="595"/>
      <c r="P55" s="595"/>
      <c r="Q55" s="595"/>
      <c r="R55" s="595"/>
      <c r="S55" s="595"/>
      <c r="T55" s="597"/>
    </row>
    <row r="56" spans="1:20" ht="12" x14ac:dyDescent="0.2">
      <c r="A56" s="772" t="s">
        <v>1262</v>
      </c>
      <c r="B56" s="773"/>
      <c r="C56" s="777" t="s">
        <v>1263</v>
      </c>
      <c r="D56" s="778"/>
      <c r="E56" s="778"/>
      <c r="F56" s="778"/>
      <c r="G56" s="779"/>
      <c r="H56" s="559" t="s">
        <v>704</v>
      </c>
      <c r="I56" s="595"/>
      <c r="J56" s="595"/>
      <c r="K56" s="595"/>
      <c r="L56" s="595"/>
      <c r="M56" s="595"/>
      <c r="N56" s="595"/>
      <c r="O56" s="595"/>
      <c r="P56" s="595"/>
      <c r="Q56" s="595"/>
      <c r="R56" s="595"/>
      <c r="S56" s="595"/>
      <c r="T56" s="597"/>
    </row>
    <row r="57" spans="1:20" ht="12" x14ac:dyDescent="0.2">
      <c r="A57" s="772" t="s">
        <v>1264</v>
      </c>
      <c r="B57" s="773"/>
      <c r="C57" s="774" t="s">
        <v>721</v>
      </c>
      <c r="D57" s="775"/>
      <c r="E57" s="775"/>
      <c r="F57" s="775"/>
      <c r="G57" s="776"/>
      <c r="H57" s="559" t="s">
        <v>704</v>
      </c>
      <c r="I57" s="595"/>
      <c r="J57" s="595"/>
      <c r="K57" s="595"/>
      <c r="L57" s="595"/>
      <c r="M57" s="595"/>
      <c r="N57" s="595"/>
      <c r="O57" s="595"/>
      <c r="P57" s="595"/>
      <c r="Q57" s="595"/>
      <c r="R57" s="595"/>
      <c r="S57" s="595"/>
      <c r="T57" s="597"/>
    </row>
    <row r="58" spans="1:20" ht="12" x14ac:dyDescent="0.2">
      <c r="A58" s="772" t="s">
        <v>1265</v>
      </c>
      <c r="B58" s="773"/>
      <c r="C58" s="774" t="s">
        <v>723</v>
      </c>
      <c r="D58" s="775"/>
      <c r="E58" s="775"/>
      <c r="F58" s="775"/>
      <c r="G58" s="776"/>
      <c r="H58" s="559" t="s">
        <v>704</v>
      </c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5"/>
      <c r="T58" s="597"/>
    </row>
    <row r="59" spans="1:20" ht="12" x14ac:dyDescent="0.2">
      <c r="A59" s="759" t="s">
        <v>41</v>
      </c>
      <c r="B59" s="760"/>
      <c r="C59" s="789" t="s">
        <v>1266</v>
      </c>
      <c r="D59" s="790"/>
      <c r="E59" s="790"/>
      <c r="F59" s="790"/>
      <c r="G59" s="791"/>
      <c r="H59" s="557" t="s">
        <v>704</v>
      </c>
      <c r="I59" s="593">
        <v>0</v>
      </c>
      <c r="J59" s="593">
        <v>0</v>
      </c>
      <c r="K59" s="594">
        <f>1.035/1.2</f>
        <v>0.86249999999999993</v>
      </c>
      <c r="L59" s="593">
        <v>0</v>
      </c>
      <c r="M59" s="593">
        <v>0</v>
      </c>
      <c r="N59" s="593">
        <v>0</v>
      </c>
      <c r="O59" s="593">
        <v>6.0640000000000001</v>
      </c>
      <c r="P59" s="593">
        <v>6.0640000000000001</v>
      </c>
      <c r="Q59" s="593">
        <v>2.1659999999999999</v>
      </c>
      <c r="R59" s="593">
        <v>2.1659999999999999</v>
      </c>
      <c r="S59" s="594">
        <f t="shared" ref="S59" si="11">I59+K59+M59+O59+Q59</f>
        <v>9.0924999999999994</v>
      </c>
      <c r="T59" s="594">
        <f t="shared" ref="T59" si="12">J59+L59+N59+P59+R59</f>
        <v>8.23</v>
      </c>
    </row>
    <row r="60" spans="1:20" x14ac:dyDescent="0.2">
      <c r="A60" s="772" t="s">
        <v>68</v>
      </c>
      <c r="B60" s="773"/>
      <c r="C60" s="780" t="s">
        <v>1267</v>
      </c>
      <c r="D60" s="781"/>
      <c r="E60" s="781"/>
      <c r="F60" s="781"/>
      <c r="G60" s="782"/>
      <c r="H60" s="559" t="s">
        <v>704</v>
      </c>
      <c r="I60" s="560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59"/>
    </row>
    <row r="61" spans="1:20" x14ac:dyDescent="0.2">
      <c r="A61" s="772" t="s">
        <v>70</v>
      </c>
      <c r="B61" s="773"/>
      <c r="C61" s="777" t="s">
        <v>1257</v>
      </c>
      <c r="D61" s="778"/>
      <c r="E61" s="778"/>
      <c r="F61" s="778"/>
      <c r="G61" s="779"/>
      <c r="H61" s="559" t="s">
        <v>704</v>
      </c>
      <c r="I61" s="560"/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59"/>
    </row>
    <row r="62" spans="1:20" x14ac:dyDescent="0.2">
      <c r="A62" s="772" t="s">
        <v>616</v>
      </c>
      <c r="B62" s="773"/>
      <c r="C62" s="777" t="s">
        <v>706</v>
      </c>
      <c r="D62" s="778"/>
      <c r="E62" s="778"/>
      <c r="F62" s="778"/>
      <c r="G62" s="779"/>
      <c r="H62" s="559" t="s">
        <v>704</v>
      </c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59"/>
    </row>
    <row r="63" spans="1:20" x14ac:dyDescent="0.2">
      <c r="A63" s="772" t="s">
        <v>617</v>
      </c>
      <c r="B63" s="773"/>
      <c r="C63" s="777" t="s">
        <v>707</v>
      </c>
      <c r="D63" s="778"/>
      <c r="E63" s="778"/>
      <c r="F63" s="778"/>
      <c r="G63" s="779"/>
      <c r="H63" s="559" t="s">
        <v>704</v>
      </c>
      <c r="I63" s="560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59"/>
    </row>
    <row r="64" spans="1:20" x14ac:dyDescent="0.2">
      <c r="A64" s="772" t="s">
        <v>617</v>
      </c>
      <c r="B64" s="773"/>
      <c r="C64" s="777" t="s">
        <v>708</v>
      </c>
      <c r="D64" s="778"/>
      <c r="E64" s="778"/>
      <c r="F64" s="778"/>
      <c r="G64" s="779"/>
      <c r="H64" s="559" t="s">
        <v>704</v>
      </c>
      <c r="I64" s="560"/>
      <c r="J64" s="560"/>
      <c r="K64" s="560"/>
      <c r="L64" s="560"/>
      <c r="M64" s="560"/>
      <c r="N64" s="560"/>
      <c r="O64" s="560"/>
      <c r="P64" s="560"/>
      <c r="Q64" s="560"/>
      <c r="R64" s="560"/>
      <c r="S64" s="560"/>
      <c r="T64" s="559"/>
    </row>
    <row r="65" spans="1:20" x14ac:dyDescent="0.2">
      <c r="A65" s="772" t="s">
        <v>72</v>
      </c>
      <c r="B65" s="773"/>
      <c r="C65" s="777" t="s">
        <v>1045</v>
      </c>
      <c r="D65" s="778"/>
      <c r="E65" s="778"/>
      <c r="F65" s="778"/>
      <c r="G65" s="779"/>
      <c r="H65" s="559" t="s">
        <v>704</v>
      </c>
      <c r="I65" s="560"/>
      <c r="J65" s="560"/>
      <c r="K65" s="560"/>
      <c r="L65" s="560"/>
      <c r="M65" s="560"/>
      <c r="N65" s="560"/>
      <c r="O65" s="560"/>
      <c r="P65" s="560"/>
      <c r="Q65" s="560"/>
      <c r="R65" s="560"/>
      <c r="S65" s="560"/>
      <c r="T65" s="559"/>
    </row>
    <row r="66" spans="1:20" x14ac:dyDescent="0.2">
      <c r="A66" s="772" t="s">
        <v>43</v>
      </c>
      <c r="B66" s="773"/>
      <c r="C66" s="777" t="s">
        <v>1048</v>
      </c>
      <c r="D66" s="778"/>
      <c r="E66" s="778"/>
      <c r="F66" s="778"/>
      <c r="G66" s="779"/>
      <c r="H66" s="559" t="s">
        <v>704</v>
      </c>
      <c r="I66" s="560"/>
      <c r="J66" s="560"/>
      <c r="K66" s="560"/>
      <c r="L66" s="560"/>
      <c r="M66" s="560"/>
      <c r="N66" s="560"/>
      <c r="O66" s="560"/>
      <c r="P66" s="560"/>
      <c r="Q66" s="560"/>
      <c r="R66" s="560"/>
      <c r="S66" s="560"/>
      <c r="T66" s="559"/>
    </row>
    <row r="67" spans="1:20" x14ac:dyDescent="0.2">
      <c r="A67" s="772" t="s">
        <v>44</v>
      </c>
      <c r="B67" s="773"/>
      <c r="C67" s="777" t="s">
        <v>1051</v>
      </c>
      <c r="D67" s="778"/>
      <c r="E67" s="778"/>
      <c r="F67" s="778"/>
      <c r="G67" s="779"/>
      <c r="H67" s="559" t="s">
        <v>704</v>
      </c>
      <c r="I67" s="560"/>
      <c r="J67" s="560"/>
      <c r="K67" s="560"/>
      <c r="L67" s="560"/>
      <c r="M67" s="560"/>
      <c r="N67" s="560"/>
      <c r="O67" s="560"/>
      <c r="P67" s="560"/>
      <c r="Q67" s="560"/>
      <c r="R67" s="560"/>
      <c r="S67" s="560"/>
      <c r="T67" s="559"/>
    </row>
    <row r="68" spans="1:20" x14ac:dyDescent="0.2">
      <c r="A68" s="772" t="s">
        <v>45</v>
      </c>
      <c r="B68" s="773"/>
      <c r="C68" s="777" t="s">
        <v>1057</v>
      </c>
      <c r="D68" s="778"/>
      <c r="E68" s="778"/>
      <c r="F68" s="778"/>
      <c r="G68" s="779"/>
      <c r="H68" s="559" t="s">
        <v>704</v>
      </c>
      <c r="I68" s="560"/>
      <c r="J68" s="560"/>
      <c r="K68" s="560"/>
      <c r="L68" s="560"/>
      <c r="M68" s="560"/>
      <c r="N68" s="560"/>
      <c r="O68" s="560"/>
      <c r="P68" s="560"/>
      <c r="Q68" s="560"/>
      <c r="R68" s="560"/>
      <c r="S68" s="560"/>
      <c r="T68" s="559"/>
    </row>
    <row r="69" spans="1:20" x14ac:dyDescent="0.2">
      <c r="A69" s="772" t="s">
        <v>46</v>
      </c>
      <c r="B69" s="773"/>
      <c r="C69" s="777" t="s">
        <v>1059</v>
      </c>
      <c r="D69" s="778"/>
      <c r="E69" s="778"/>
      <c r="F69" s="778"/>
      <c r="G69" s="779"/>
      <c r="H69" s="559" t="s">
        <v>704</v>
      </c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59"/>
    </row>
    <row r="70" spans="1:20" x14ac:dyDescent="0.2">
      <c r="A70" s="772" t="s">
        <v>47</v>
      </c>
      <c r="B70" s="773"/>
      <c r="C70" s="777" t="s">
        <v>1263</v>
      </c>
      <c r="D70" s="778"/>
      <c r="E70" s="778"/>
      <c r="F70" s="778"/>
      <c r="G70" s="779"/>
      <c r="H70" s="559" t="s">
        <v>704</v>
      </c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59"/>
    </row>
    <row r="71" spans="1:20" x14ac:dyDescent="0.2">
      <c r="A71" s="772" t="s">
        <v>1268</v>
      </c>
      <c r="B71" s="773"/>
      <c r="C71" s="774" t="s">
        <v>721</v>
      </c>
      <c r="D71" s="775"/>
      <c r="E71" s="775"/>
      <c r="F71" s="775"/>
      <c r="G71" s="776"/>
      <c r="H71" s="559" t="s">
        <v>704</v>
      </c>
      <c r="I71" s="560"/>
      <c r="J71" s="560"/>
      <c r="K71" s="560"/>
      <c r="L71" s="560"/>
      <c r="M71" s="560"/>
      <c r="N71" s="560"/>
      <c r="O71" s="560"/>
      <c r="P71" s="560"/>
      <c r="Q71" s="560"/>
      <c r="R71" s="560"/>
      <c r="S71" s="560"/>
      <c r="T71" s="559"/>
    </row>
    <row r="72" spans="1:20" x14ac:dyDescent="0.2">
      <c r="A72" s="772" t="s">
        <v>1269</v>
      </c>
      <c r="B72" s="773"/>
      <c r="C72" s="774" t="s">
        <v>723</v>
      </c>
      <c r="D72" s="775"/>
      <c r="E72" s="775"/>
      <c r="F72" s="775"/>
      <c r="G72" s="776"/>
      <c r="H72" s="559" t="s">
        <v>704</v>
      </c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59"/>
    </row>
    <row r="73" spans="1:20" x14ac:dyDescent="0.2">
      <c r="A73" s="772" t="s">
        <v>48</v>
      </c>
      <c r="B73" s="773"/>
      <c r="C73" s="792" t="s">
        <v>1270</v>
      </c>
      <c r="D73" s="793"/>
      <c r="E73" s="793"/>
      <c r="F73" s="793"/>
      <c r="G73" s="794"/>
      <c r="H73" s="559" t="s">
        <v>704</v>
      </c>
      <c r="I73" s="560"/>
      <c r="J73" s="560"/>
      <c r="K73" s="560"/>
      <c r="L73" s="560"/>
      <c r="M73" s="560"/>
      <c r="N73" s="560"/>
      <c r="O73" s="560"/>
      <c r="P73" s="560"/>
      <c r="Q73" s="560"/>
      <c r="R73" s="560"/>
      <c r="S73" s="560"/>
      <c r="T73" s="559"/>
    </row>
    <row r="74" spans="1:20" x14ac:dyDescent="0.2">
      <c r="A74" s="772" t="s">
        <v>711</v>
      </c>
      <c r="B74" s="773"/>
      <c r="C74" s="792" t="s">
        <v>1271</v>
      </c>
      <c r="D74" s="793"/>
      <c r="E74" s="793"/>
      <c r="F74" s="793"/>
      <c r="G74" s="794"/>
      <c r="H74" s="559" t="s">
        <v>704</v>
      </c>
      <c r="I74" s="560"/>
      <c r="J74" s="560"/>
      <c r="K74" s="560"/>
      <c r="L74" s="560"/>
      <c r="M74" s="560"/>
      <c r="N74" s="560"/>
      <c r="O74" s="560"/>
      <c r="P74" s="560"/>
      <c r="Q74" s="560"/>
      <c r="R74" s="560"/>
      <c r="S74" s="560"/>
      <c r="T74" s="559"/>
    </row>
    <row r="75" spans="1:20" x14ac:dyDescent="0.2">
      <c r="A75" s="772" t="s">
        <v>1272</v>
      </c>
      <c r="B75" s="773"/>
      <c r="C75" s="780" t="s">
        <v>1273</v>
      </c>
      <c r="D75" s="781"/>
      <c r="E75" s="781"/>
      <c r="F75" s="781"/>
      <c r="G75" s="782"/>
      <c r="H75" s="559" t="s">
        <v>704</v>
      </c>
      <c r="I75" s="560"/>
      <c r="J75" s="560"/>
      <c r="K75" s="560"/>
      <c r="L75" s="560"/>
      <c r="M75" s="560"/>
      <c r="N75" s="560"/>
      <c r="O75" s="560"/>
      <c r="P75" s="560"/>
      <c r="Q75" s="560"/>
      <c r="R75" s="560"/>
      <c r="S75" s="560"/>
      <c r="T75" s="559"/>
    </row>
    <row r="76" spans="1:20" x14ac:dyDescent="0.2">
      <c r="A76" s="772" t="s">
        <v>1274</v>
      </c>
      <c r="B76" s="773"/>
      <c r="C76" s="780" t="s">
        <v>1275</v>
      </c>
      <c r="D76" s="781"/>
      <c r="E76" s="781"/>
      <c r="F76" s="781"/>
      <c r="G76" s="782"/>
      <c r="H76" s="559" t="s">
        <v>704</v>
      </c>
      <c r="I76" s="560"/>
      <c r="J76" s="560"/>
      <c r="K76" s="560"/>
      <c r="L76" s="560"/>
      <c r="M76" s="560"/>
      <c r="N76" s="560"/>
      <c r="O76" s="560"/>
      <c r="P76" s="560"/>
      <c r="Q76" s="560"/>
      <c r="R76" s="560"/>
      <c r="S76" s="560"/>
      <c r="T76" s="559"/>
    </row>
    <row r="77" spans="1:20" x14ac:dyDescent="0.2">
      <c r="A77" s="754" t="s">
        <v>726</v>
      </c>
      <c r="B77" s="755"/>
      <c r="C77" s="756" t="s">
        <v>1276</v>
      </c>
      <c r="D77" s="757"/>
      <c r="E77" s="757"/>
      <c r="F77" s="757"/>
      <c r="G77" s="758"/>
      <c r="H77" s="555" t="s">
        <v>704</v>
      </c>
      <c r="I77" s="556">
        <f>SUM(I78:I82)+I87+I88</f>
        <v>0</v>
      </c>
      <c r="J77" s="556">
        <f t="shared" ref="J77:P77" si="13">SUM(J78:J82)+J87+J88</f>
        <v>0</v>
      </c>
      <c r="K77" s="556">
        <f t="shared" si="13"/>
        <v>0</v>
      </c>
      <c r="L77" s="556">
        <f t="shared" si="13"/>
        <v>0</v>
      </c>
      <c r="M77" s="556">
        <f t="shared" ref="M77:N77" si="14">SUM(M78:M82)+M87+M88</f>
        <v>0</v>
      </c>
      <c r="N77" s="556">
        <f t="shared" si="14"/>
        <v>0</v>
      </c>
      <c r="O77" s="556">
        <f t="shared" si="13"/>
        <v>0</v>
      </c>
      <c r="P77" s="556">
        <f t="shared" si="13"/>
        <v>0</v>
      </c>
      <c r="Q77" s="556">
        <f t="shared" ref="Q77:R77" si="15">SUM(Q78:Q82)+Q87+Q88</f>
        <v>0</v>
      </c>
      <c r="R77" s="556">
        <f t="shared" si="15"/>
        <v>0</v>
      </c>
      <c r="S77" s="556">
        <f>I77+K77+O77</f>
        <v>0</v>
      </c>
      <c r="T77" s="556">
        <f>J77+L77+P77</f>
        <v>0</v>
      </c>
    </row>
    <row r="78" spans="1:20" x14ac:dyDescent="0.2">
      <c r="A78" s="772" t="s">
        <v>728</v>
      </c>
      <c r="B78" s="773"/>
      <c r="C78" s="792" t="s">
        <v>1277</v>
      </c>
      <c r="D78" s="793"/>
      <c r="E78" s="793"/>
      <c r="F78" s="793"/>
      <c r="G78" s="794"/>
      <c r="H78" s="559" t="s">
        <v>704</v>
      </c>
      <c r="I78" s="560"/>
      <c r="J78" s="560"/>
      <c r="K78" s="560"/>
      <c r="L78" s="560"/>
      <c r="M78" s="560"/>
      <c r="N78" s="560"/>
      <c r="O78" s="560"/>
      <c r="P78" s="560"/>
      <c r="Q78" s="560"/>
      <c r="R78" s="560"/>
      <c r="S78" s="560"/>
      <c r="T78" s="559"/>
    </row>
    <row r="79" spans="1:20" x14ac:dyDescent="0.2">
      <c r="A79" s="772" t="s">
        <v>732</v>
      </c>
      <c r="B79" s="773"/>
      <c r="C79" s="792" t="s">
        <v>1278</v>
      </c>
      <c r="D79" s="793"/>
      <c r="E79" s="793"/>
      <c r="F79" s="793"/>
      <c r="G79" s="794"/>
      <c r="H79" s="559" t="s">
        <v>704</v>
      </c>
      <c r="I79" s="560"/>
      <c r="J79" s="560"/>
      <c r="K79" s="560"/>
      <c r="L79" s="560"/>
      <c r="M79" s="560"/>
      <c r="N79" s="560"/>
      <c r="O79" s="560"/>
      <c r="P79" s="560"/>
      <c r="Q79" s="560"/>
      <c r="R79" s="560"/>
      <c r="S79" s="560"/>
      <c r="T79" s="559"/>
    </row>
    <row r="80" spans="1:20" x14ac:dyDescent="0.2">
      <c r="A80" s="772" t="s">
        <v>733</v>
      </c>
      <c r="B80" s="773"/>
      <c r="C80" s="792" t="s">
        <v>1279</v>
      </c>
      <c r="D80" s="793"/>
      <c r="E80" s="793"/>
      <c r="F80" s="793"/>
      <c r="G80" s="794"/>
      <c r="H80" s="559" t="s">
        <v>704</v>
      </c>
      <c r="I80" s="560"/>
      <c r="J80" s="560"/>
      <c r="K80" s="560"/>
      <c r="L80" s="560"/>
      <c r="M80" s="560"/>
      <c r="N80" s="560"/>
      <c r="O80" s="560"/>
      <c r="P80" s="560"/>
      <c r="Q80" s="560"/>
      <c r="R80" s="560"/>
      <c r="S80" s="560"/>
      <c r="T80" s="559"/>
    </row>
    <row r="81" spans="1:20" x14ac:dyDescent="0.2">
      <c r="A81" s="772" t="s">
        <v>734</v>
      </c>
      <c r="B81" s="773"/>
      <c r="C81" s="792" t="s">
        <v>1280</v>
      </c>
      <c r="D81" s="793"/>
      <c r="E81" s="793"/>
      <c r="F81" s="793"/>
      <c r="G81" s="794"/>
      <c r="H81" s="559" t="s">
        <v>704</v>
      </c>
      <c r="I81" s="560"/>
      <c r="J81" s="560"/>
      <c r="K81" s="560"/>
      <c r="L81" s="560"/>
      <c r="M81" s="560"/>
      <c r="N81" s="560"/>
      <c r="O81" s="560"/>
      <c r="P81" s="560"/>
      <c r="Q81" s="560"/>
      <c r="R81" s="560"/>
      <c r="S81" s="560"/>
      <c r="T81" s="559"/>
    </row>
    <row r="82" spans="1:20" x14ac:dyDescent="0.2">
      <c r="A82" s="772" t="s">
        <v>735</v>
      </c>
      <c r="B82" s="773"/>
      <c r="C82" s="792" t="s">
        <v>1281</v>
      </c>
      <c r="D82" s="793"/>
      <c r="E82" s="793"/>
      <c r="F82" s="793"/>
      <c r="G82" s="794"/>
      <c r="H82" s="559" t="s">
        <v>704</v>
      </c>
      <c r="I82" s="560"/>
      <c r="J82" s="560"/>
      <c r="K82" s="560"/>
      <c r="L82" s="560"/>
      <c r="M82" s="560"/>
      <c r="N82" s="560"/>
      <c r="O82" s="560"/>
      <c r="P82" s="560"/>
      <c r="Q82" s="560"/>
      <c r="R82" s="560"/>
      <c r="S82" s="560"/>
      <c r="T82" s="559"/>
    </row>
    <row r="83" spans="1:20" x14ac:dyDescent="0.2">
      <c r="A83" s="772" t="s">
        <v>775</v>
      </c>
      <c r="B83" s="773"/>
      <c r="C83" s="780" t="s">
        <v>945</v>
      </c>
      <c r="D83" s="781"/>
      <c r="E83" s="781"/>
      <c r="F83" s="781"/>
      <c r="G83" s="782"/>
      <c r="H83" s="559" t="s">
        <v>704</v>
      </c>
      <c r="I83" s="560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59"/>
    </row>
    <row r="84" spans="1:20" x14ac:dyDescent="0.2">
      <c r="A84" s="772" t="s">
        <v>1282</v>
      </c>
      <c r="B84" s="773"/>
      <c r="C84" s="777" t="s">
        <v>1283</v>
      </c>
      <c r="D84" s="778"/>
      <c r="E84" s="778"/>
      <c r="F84" s="778"/>
      <c r="G84" s="779"/>
      <c r="H84" s="559" t="s">
        <v>704</v>
      </c>
      <c r="I84" s="560"/>
      <c r="J84" s="560"/>
      <c r="K84" s="560"/>
      <c r="L84" s="560"/>
      <c r="M84" s="560"/>
      <c r="N84" s="560"/>
      <c r="O84" s="560"/>
      <c r="P84" s="560"/>
      <c r="Q84" s="560"/>
      <c r="R84" s="560"/>
      <c r="S84" s="560"/>
      <c r="T84" s="559"/>
    </row>
    <row r="85" spans="1:20" x14ac:dyDescent="0.2">
      <c r="A85" s="772" t="s">
        <v>777</v>
      </c>
      <c r="B85" s="773"/>
      <c r="C85" s="780" t="s">
        <v>947</v>
      </c>
      <c r="D85" s="781"/>
      <c r="E85" s="781"/>
      <c r="F85" s="781"/>
      <c r="G85" s="782"/>
      <c r="H85" s="559" t="s">
        <v>704</v>
      </c>
      <c r="I85" s="560"/>
      <c r="J85" s="560"/>
      <c r="K85" s="560"/>
      <c r="L85" s="560"/>
      <c r="M85" s="560"/>
      <c r="N85" s="560"/>
      <c r="O85" s="560"/>
      <c r="P85" s="560"/>
      <c r="Q85" s="560"/>
      <c r="R85" s="560"/>
      <c r="S85" s="560"/>
      <c r="T85" s="559"/>
    </row>
    <row r="86" spans="1:20" x14ac:dyDescent="0.2">
      <c r="A86" s="772" t="s">
        <v>1284</v>
      </c>
      <c r="B86" s="773"/>
      <c r="C86" s="777" t="s">
        <v>1285</v>
      </c>
      <c r="D86" s="778"/>
      <c r="E86" s="778"/>
      <c r="F86" s="778"/>
      <c r="G86" s="779"/>
      <c r="H86" s="559" t="s">
        <v>704</v>
      </c>
      <c r="I86" s="560"/>
      <c r="J86" s="560"/>
      <c r="K86" s="560"/>
      <c r="L86" s="560"/>
      <c r="M86" s="560"/>
      <c r="N86" s="560"/>
      <c r="O86" s="560"/>
      <c r="P86" s="560"/>
      <c r="Q86" s="560"/>
      <c r="R86" s="560"/>
      <c r="S86" s="560"/>
      <c r="T86" s="559"/>
    </row>
    <row r="87" spans="1:20" x14ac:dyDescent="0.2">
      <c r="A87" s="759" t="s">
        <v>736</v>
      </c>
      <c r="B87" s="760"/>
      <c r="C87" s="761" t="s">
        <v>1286</v>
      </c>
      <c r="D87" s="762"/>
      <c r="E87" s="762"/>
      <c r="F87" s="762"/>
      <c r="G87" s="763"/>
      <c r="H87" s="557" t="s">
        <v>704</v>
      </c>
      <c r="I87" s="558"/>
      <c r="J87" s="558"/>
      <c r="K87" s="558"/>
      <c r="L87" s="558"/>
      <c r="M87" s="558"/>
      <c r="N87" s="558"/>
      <c r="O87" s="558"/>
      <c r="P87" s="558"/>
      <c r="Q87" s="558"/>
      <c r="R87" s="558"/>
      <c r="S87" s="558"/>
      <c r="T87" s="557"/>
    </row>
    <row r="88" spans="1:20" ht="12" thickBot="1" x14ac:dyDescent="0.25">
      <c r="A88" s="795" t="s">
        <v>737</v>
      </c>
      <c r="B88" s="796"/>
      <c r="C88" s="800" t="s">
        <v>1287</v>
      </c>
      <c r="D88" s="801"/>
      <c r="E88" s="801"/>
      <c r="F88" s="801"/>
      <c r="G88" s="802"/>
      <c r="H88" s="561" t="s">
        <v>704</v>
      </c>
      <c r="I88" s="562"/>
      <c r="J88" s="562"/>
      <c r="K88" s="562"/>
      <c r="L88" s="562"/>
      <c r="M88" s="562"/>
      <c r="N88" s="562"/>
      <c r="O88" s="562"/>
      <c r="P88" s="562"/>
      <c r="Q88" s="562"/>
      <c r="R88" s="562"/>
      <c r="S88" s="562"/>
      <c r="T88" s="561"/>
    </row>
    <row r="89" spans="1:20" x14ac:dyDescent="0.2">
      <c r="A89" s="803" t="s">
        <v>795</v>
      </c>
      <c r="B89" s="804"/>
      <c r="C89" s="805" t="s">
        <v>788</v>
      </c>
      <c r="D89" s="806"/>
      <c r="E89" s="806"/>
      <c r="F89" s="806"/>
      <c r="G89" s="807"/>
      <c r="H89" s="563" t="s">
        <v>73</v>
      </c>
      <c r="I89" s="564"/>
      <c r="J89" s="564"/>
      <c r="K89" s="564"/>
      <c r="L89" s="564"/>
      <c r="M89" s="564"/>
      <c r="N89" s="564"/>
      <c r="O89" s="564"/>
      <c r="P89" s="564"/>
      <c r="Q89" s="564"/>
      <c r="R89" s="564"/>
      <c r="S89" s="564"/>
      <c r="T89" s="563"/>
    </row>
    <row r="90" spans="1:20" x14ac:dyDescent="0.2">
      <c r="A90" s="772" t="s">
        <v>797</v>
      </c>
      <c r="B90" s="773"/>
      <c r="C90" s="792" t="s">
        <v>1288</v>
      </c>
      <c r="D90" s="793"/>
      <c r="E90" s="793"/>
      <c r="F90" s="793"/>
      <c r="G90" s="794"/>
      <c r="H90" s="559" t="s">
        <v>704</v>
      </c>
      <c r="I90" s="560"/>
      <c r="J90" s="560"/>
      <c r="K90" s="560"/>
      <c r="L90" s="560"/>
      <c r="M90" s="560"/>
      <c r="N90" s="560"/>
      <c r="O90" s="560"/>
      <c r="P90" s="560"/>
      <c r="Q90" s="560"/>
      <c r="R90" s="560"/>
      <c r="S90" s="560"/>
      <c r="T90" s="559"/>
    </row>
    <row r="91" spans="1:20" x14ac:dyDescent="0.2">
      <c r="A91" s="772" t="s">
        <v>798</v>
      </c>
      <c r="B91" s="773"/>
      <c r="C91" s="780" t="s">
        <v>1289</v>
      </c>
      <c r="D91" s="781"/>
      <c r="E91" s="781"/>
      <c r="F91" s="781"/>
      <c r="G91" s="782"/>
      <c r="H91" s="559" t="s">
        <v>704</v>
      </c>
      <c r="I91" s="560"/>
      <c r="J91" s="560"/>
      <c r="K91" s="560"/>
      <c r="L91" s="560"/>
      <c r="M91" s="560"/>
      <c r="N91" s="560"/>
      <c r="O91" s="560"/>
      <c r="P91" s="560"/>
      <c r="Q91" s="560"/>
      <c r="R91" s="560"/>
      <c r="S91" s="560"/>
      <c r="T91" s="559"/>
    </row>
    <row r="92" spans="1:20" x14ac:dyDescent="0.2">
      <c r="A92" s="772" t="s">
        <v>799</v>
      </c>
      <c r="B92" s="773"/>
      <c r="C92" s="780" t="s">
        <v>1290</v>
      </c>
      <c r="D92" s="781"/>
      <c r="E92" s="781"/>
      <c r="F92" s="781"/>
      <c r="G92" s="782"/>
      <c r="H92" s="559" t="s">
        <v>704</v>
      </c>
      <c r="I92" s="560"/>
      <c r="J92" s="560"/>
      <c r="K92" s="560"/>
      <c r="L92" s="560"/>
      <c r="M92" s="560"/>
      <c r="N92" s="560"/>
      <c r="O92" s="560"/>
      <c r="P92" s="560"/>
      <c r="Q92" s="560"/>
      <c r="R92" s="560"/>
      <c r="S92" s="560"/>
      <c r="T92" s="559"/>
    </row>
    <row r="93" spans="1:20" x14ac:dyDescent="0.2">
      <c r="A93" s="772" t="s">
        <v>800</v>
      </c>
      <c r="B93" s="773"/>
      <c r="C93" s="780" t="s">
        <v>1291</v>
      </c>
      <c r="D93" s="781"/>
      <c r="E93" s="781"/>
      <c r="F93" s="781"/>
      <c r="G93" s="782"/>
      <c r="H93" s="559" t="s">
        <v>704</v>
      </c>
      <c r="I93" s="560"/>
      <c r="J93" s="560"/>
      <c r="K93" s="560"/>
      <c r="L93" s="560"/>
      <c r="M93" s="560"/>
      <c r="N93" s="560"/>
      <c r="O93" s="560"/>
      <c r="P93" s="560"/>
      <c r="Q93" s="560"/>
      <c r="R93" s="560"/>
      <c r="S93" s="560"/>
      <c r="T93" s="559"/>
    </row>
    <row r="94" spans="1:20" x14ac:dyDescent="0.2">
      <c r="A94" s="772" t="s">
        <v>801</v>
      </c>
      <c r="B94" s="773"/>
      <c r="C94" s="792" t="s">
        <v>1292</v>
      </c>
      <c r="D94" s="793"/>
      <c r="E94" s="793"/>
      <c r="F94" s="793"/>
      <c r="G94" s="794"/>
      <c r="H94" s="559" t="s">
        <v>73</v>
      </c>
      <c r="I94" s="560"/>
      <c r="J94" s="560"/>
      <c r="K94" s="560"/>
      <c r="L94" s="560"/>
      <c r="M94" s="560"/>
      <c r="N94" s="560"/>
      <c r="O94" s="560"/>
      <c r="P94" s="560"/>
      <c r="Q94" s="560"/>
      <c r="R94" s="560"/>
      <c r="S94" s="560"/>
      <c r="T94" s="559"/>
    </row>
    <row r="95" spans="1:20" x14ac:dyDescent="0.2">
      <c r="A95" s="772" t="s">
        <v>1293</v>
      </c>
      <c r="B95" s="773"/>
      <c r="C95" s="780" t="s">
        <v>1294</v>
      </c>
      <c r="D95" s="781"/>
      <c r="E95" s="781"/>
      <c r="F95" s="781"/>
      <c r="G95" s="782"/>
      <c r="H95" s="559" t="s">
        <v>704</v>
      </c>
      <c r="I95" s="560"/>
      <c r="J95" s="560"/>
      <c r="K95" s="560"/>
      <c r="L95" s="560"/>
      <c r="M95" s="560"/>
      <c r="N95" s="560"/>
      <c r="O95" s="560"/>
      <c r="P95" s="560"/>
      <c r="Q95" s="560"/>
      <c r="R95" s="560"/>
      <c r="S95" s="560"/>
      <c r="T95" s="559"/>
    </row>
    <row r="96" spans="1:20" x14ac:dyDescent="0.2">
      <c r="A96" s="772" t="s">
        <v>1295</v>
      </c>
      <c r="B96" s="773"/>
      <c r="C96" s="780" t="s">
        <v>1296</v>
      </c>
      <c r="D96" s="781"/>
      <c r="E96" s="781"/>
      <c r="F96" s="781"/>
      <c r="G96" s="782"/>
      <c r="H96" s="559" t="s">
        <v>704</v>
      </c>
      <c r="I96" s="560"/>
      <c r="J96" s="560"/>
      <c r="K96" s="560"/>
      <c r="L96" s="560"/>
      <c r="M96" s="560"/>
      <c r="N96" s="560"/>
      <c r="O96" s="560"/>
      <c r="P96" s="560"/>
      <c r="Q96" s="560"/>
      <c r="R96" s="560"/>
      <c r="S96" s="560"/>
      <c r="T96" s="559"/>
    </row>
    <row r="97" spans="1:20" ht="12" thickBot="1" x14ac:dyDescent="0.25">
      <c r="A97" s="795" t="s">
        <v>1297</v>
      </c>
      <c r="B97" s="796"/>
      <c r="C97" s="797" t="s">
        <v>1298</v>
      </c>
      <c r="D97" s="798"/>
      <c r="E97" s="798"/>
      <c r="F97" s="798"/>
      <c r="G97" s="799"/>
      <c r="H97" s="565" t="s">
        <v>704</v>
      </c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1"/>
    </row>
    <row r="100" spans="1:20" ht="15" x14ac:dyDescent="0.2">
      <c r="E100" s="11" t="s">
        <v>52</v>
      </c>
      <c r="F100" s="12"/>
      <c r="G100" s="12"/>
      <c r="I100" s="12"/>
      <c r="N100" s="12" t="s">
        <v>1325</v>
      </c>
    </row>
  </sheetData>
  <mergeCells count="171">
    <mergeCell ref="A88:B88"/>
    <mergeCell ref="C88:G88"/>
    <mergeCell ref="A89:B89"/>
    <mergeCell ref="C89:G89"/>
    <mergeCell ref="A90:B90"/>
    <mergeCell ref="C90:G90"/>
    <mergeCell ref="A85:B85"/>
    <mergeCell ref="C85:G85"/>
    <mergeCell ref="A86:B86"/>
    <mergeCell ref="A97:B97"/>
    <mergeCell ref="C97:G97"/>
    <mergeCell ref="A94:B94"/>
    <mergeCell ref="C94:G94"/>
    <mergeCell ref="A95:B95"/>
    <mergeCell ref="C95:G95"/>
    <mergeCell ref="A96:B96"/>
    <mergeCell ref="C96:G96"/>
    <mergeCell ref="A91:B91"/>
    <mergeCell ref="C91:G91"/>
    <mergeCell ref="A92:B92"/>
    <mergeCell ref="C92:G92"/>
    <mergeCell ref="A93:B93"/>
    <mergeCell ref="C93:G93"/>
    <mergeCell ref="C86:G86"/>
    <mergeCell ref="A87:B87"/>
    <mergeCell ref="C87:G87"/>
    <mergeCell ref="A82:B82"/>
    <mergeCell ref="C82:G82"/>
    <mergeCell ref="A83:B83"/>
    <mergeCell ref="C83:G83"/>
    <mergeCell ref="A84:B84"/>
    <mergeCell ref="C84:G84"/>
    <mergeCell ref="A79:B79"/>
    <mergeCell ref="C79:G79"/>
    <mergeCell ref="A80:B80"/>
    <mergeCell ref="C80:G80"/>
    <mergeCell ref="A81:B81"/>
    <mergeCell ref="C81:G81"/>
    <mergeCell ref="A76:B76"/>
    <mergeCell ref="C76:G76"/>
    <mergeCell ref="A77:B77"/>
    <mergeCell ref="C77:G77"/>
    <mergeCell ref="A78:B78"/>
    <mergeCell ref="C78:G78"/>
    <mergeCell ref="A73:B73"/>
    <mergeCell ref="C73:G73"/>
    <mergeCell ref="A74:B74"/>
    <mergeCell ref="C74:G74"/>
    <mergeCell ref="A75:B75"/>
    <mergeCell ref="C75:G75"/>
    <mergeCell ref="A70:B70"/>
    <mergeCell ref="C70:G70"/>
    <mergeCell ref="A71:B71"/>
    <mergeCell ref="C71:G71"/>
    <mergeCell ref="A72:B72"/>
    <mergeCell ref="C72:G72"/>
    <mergeCell ref="A67:B67"/>
    <mergeCell ref="C67:G67"/>
    <mergeCell ref="A68:B68"/>
    <mergeCell ref="C68:G68"/>
    <mergeCell ref="A69:B69"/>
    <mergeCell ref="C69:G69"/>
    <mergeCell ref="A64:B64"/>
    <mergeCell ref="C64:G64"/>
    <mergeCell ref="A65:B65"/>
    <mergeCell ref="C65:G65"/>
    <mergeCell ref="A66:B66"/>
    <mergeCell ref="C66:G66"/>
    <mergeCell ref="A61:B61"/>
    <mergeCell ref="C61:G61"/>
    <mergeCell ref="A62:B62"/>
    <mergeCell ref="C62:G62"/>
    <mergeCell ref="A63:B63"/>
    <mergeCell ref="C63:G63"/>
    <mergeCell ref="A58:B58"/>
    <mergeCell ref="C58:G58"/>
    <mergeCell ref="A59:B59"/>
    <mergeCell ref="C59:G59"/>
    <mergeCell ref="A60:B60"/>
    <mergeCell ref="C60:G60"/>
    <mergeCell ref="A55:B55"/>
    <mergeCell ref="C55:G55"/>
    <mergeCell ref="A56:B56"/>
    <mergeCell ref="C56:G56"/>
    <mergeCell ref="A57:B57"/>
    <mergeCell ref="C57:G57"/>
    <mergeCell ref="A52:B52"/>
    <mergeCell ref="C52:G52"/>
    <mergeCell ref="A53:B53"/>
    <mergeCell ref="C53:G53"/>
    <mergeCell ref="A54:B54"/>
    <mergeCell ref="C54:G54"/>
    <mergeCell ref="A49:B49"/>
    <mergeCell ref="C49:G49"/>
    <mergeCell ref="A50:B50"/>
    <mergeCell ref="C50:G50"/>
    <mergeCell ref="A51:B51"/>
    <mergeCell ref="C51:G51"/>
    <mergeCell ref="A46:B46"/>
    <mergeCell ref="C46:G46"/>
    <mergeCell ref="A47:B47"/>
    <mergeCell ref="C47:G47"/>
    <mergeCell ref="A48:B48"/>
    <mergeCell ref="C48:G48"/>
    <mergeCell ref="A43:B43"/>
    <mergeCell ref="C43:G43"/>
    <mergeCell ref="A44:B44"/>
    <mergeCell ref="C44:G44"/>
    <mergeCell ref="A45:B45"/>
    <mergeCell ref="C45:G45"/>
    <mergeCell ref="A40:B40"/>
    <mergeCell ref="C40:G40"/>
    <mergeCell ref="A41:B41"/>
    <mergeCell ref="C41:G41"/>
    <mergeCell ref="A42:B42"/>
    <mergeCell ref="C42:G42"/>
    <mergeCell ref="A37:B37"/>
    <mergeCell ref="C37:G37"/>
    <mergeCell ref="A38:B38"/>
    <mergeCell ref="C38:G38"/>
    <mergeCell ref="A39:B39"/>
    <mergeCell ref="C39:G39"/>
    <mergeCell ref="A34:B34"/>
    <mergeCell ref="C34:G34"/>
    <mergeCell ref="A35:B35"/>
    <mergeCell ref="C35:G35"/>
    <mergeCell ref="A36:B36"/>
    <mergeCell ref="C36:G36"/>
    <mergeCell ref="A31:B31"/>
    <mergeCell ref="C31:G31"/>
    <mergeCell ref="A32:B32"/>
    <mergeCell ref="C32:G32"/>
    <mergeCell ref="A33:B33"/>
    <mergeCell ref="C33:G33"/>
    <mergeCell ref="A28:B28"/>
    <mergeCell ref="C28:G28"/>
    <mergeCell ref="A29:B29"/>
    <mergeCell ref="C29:G29"/>
    <mergeCell ref="A30:B30"/>
    <mergeCell ref="C30:G30"/>
    <mergeCell ref="A25:B25"/>
    <mergeCell ref="C25:G25"/>
    <mergeCell ref="A26:B26"/>
    <mergeCell ref="C26:G26"/>
    <mergeCell ref="A27:B27"/>
    <mergeCell ref="C27:G27"/>
    <mergeCell ref="A22:B22"/>
    <mergeCell ref="C22:G22"/>
    <mergeCell ref="A23:B23"/>
    <mergeCell ref="C23:G23"/>
    <mergeCell ref="A24:B24"/>
    <mergeCell ref="C24:G24"/>
    <mergeCell ref="A18:B18"/>
    <mergeCell ref="C18:G18"/>
    <mergeCell ref="A19:G19"/>
    <mergeCell ref="A20:B20"/>
    <mergeCell ref="C20:G20"/>
    <mergeCell ref="A21:B21"/>
    <mergeCell ref="C21:G21"/>
    <mergeCell ref="A16:B17"/>
    <mergeCell ref="C16:G17"/>
    <mergeCell ref="H16:H17"/>
    <mergeCell ref="I16:J16"/>
    <mergeCell ref="K16:L16"/>
    <mergeCell ref="M16:N16"/>
    <mergeCell ref="O16:P16"/>
    <mergeCell ref="Q16:R16"/>
    <mergeCell ref="S16:T16"/>
    <mergeCell ref="M9:N9"/>
    <mergeCell ref="B13:I13"/>
    <mergeCell ref="L13:P13"/>
  </mergeCells>
  <pageMargins left="0.31496062992125984" right="0.31496062992125984" top="0.35433070866141736" bottom="0.35433070866141736" header="0.11811023622047245" footer="0.11811023622047245"/>
  <pageSetup paperSize="8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W373"/>
  <sheetViews>
    <sheetView view="pageBreakPreview" zoomScale="130" zoomScaleNormal="120" workbookViewId="0">
      <selection activeCell="Y24" sqref="Y24"/>
    </sheetView>
  </sheetViews>
  <sheetFormatPr defaultRowHeight="8.25" x14ac:dyDescent="0.15"/>
  <cols>
    <col min="1" max="1" width="1.7109375" style="244" customWidth="1"/>
    <col min="2" max="2" width="3.42578125" style="244" customWidth="1"/>
    <col min="3" max="3" width="11.42578125" style="244" customWidth="1"/>
    <col min="4" max="4" width="7.28515625" style="244" customWidth="1"/>
    <col min="5" max="5" width="14" style="244" customWidth="1"/>
    <col min="6" max="6" width="6.42578125" style="244" customWidth="1"/>
    <col min="7" max="7" width="4.5703125" style="244" customWidth="1"/>
    <col min="8" max="8" width="6.140625" style="245" customWidth="1"/>
    <col min="9" max="10" width="4.7109375" style="245" customWidth="1"/>
    <col min="11" max="11" width="5.140625" style="245" customWidth="1"/>
    <col min="12" max="12" width="8.42578125" style="245" customWidth="1"/>
    <col min="13" max="13" width="9.7109375" style="245" customWidth="1"/>
    <col min="14" max="14" width="8.140625" style="245" customWidth="1"/>
    <col min="15" max="15" width="9.28515625" style="245" customWidth="1"/>
    <col min="16" max="16" width="8.7109375" style="245" customWidth="1"/>
    <col min="17" max="17" width="9.28515625" style="245" customWidth="1"/>
    <col min="18" max="18" width="8.7109375" style="245" customWidth="1"/>
    <col min="19" max="19" width="9.28515625" style="245" customWidth="1"/>
    <col min="20" max="20" width="8.7109375" style="245" customWidth="1"/>
    <col min="21" max="21" width="9.28515625" style="245" customWidth="1"/>
    <col min="22" max="22" width="8.7109375" style="245" customWidth="1"/>
    <col min="23" max="23" width="9.28515625" style="245" customWidth="1"/>
    <col min="24" max="260" width="9.140625" style="244"/>
    <col min="261" max="261" width="1.42578125" style="244" customWidth="1"/>
    <col min="262" max="262" width="3.42578125" style="244" customWidth="1"/>
    <col min="263" max="263" width="11.42578125" style="244" customWidth="1"/>
    <col min="264" max="264" width="7.28515625" style="244" customWidth="1"/>
    <col min="265" max="265" width="14" style="244" customWidth="1"/>
    <col min="266" max="266" width="6.42578125" style="244" customWidth="1"/>
    <col min="267" max="267" width="4.5703125" style="244" customWidth="1"/>
    <col min="268" max="268" width="6.140625" style="244" customWidth="1"/>
    <col min="269" max="270" width="4.7109375" style="244" customWidth="1"/>
    <col min="271" max="271" width="5.140625" style="244" customWidth="1"/>
    <col min="272" max="272" width="8.5703125" style="244" customWidth="1"/>
    <col min="273" max="273" width="9.5703125" style="244" customWidth="1"/>
    <col min="274" max="274" width="8.7109375" style="244" customWidth="1"/>
    <col min="275" max="275" width="9.28515625" style="244" customWidth="1"/>
    <col min="276" max="276" width="8.7109375" style="244" customWidth="1"/>
    <col min="277" max="277" width="9.28515625" style="244" customWidth="1"/>
    <col min="278" max="278" width="8.7109375" style="244" customWidth="1"/>
    <col min="279" max="279" width="9.28515625" style="244" customWidth="1"/>
    <col min="280" max="516" width="9.140625" style="244"/>
    <col min="517" max="517" width="1.42578125" style="244" customWidth="1"/>
    <col min="518" max="518" width="3.42578125" style="244" customWidth="1"/>
    <col min="519" max="519" width="11.42578125" style="244" customWidth="1"/>
    <col min="520" max="520" width="7.28515625" style="244" customWidth="1"/>
    <col min="521" max="521" width="14" style="244" customWidth="1"/>
    <col min="522" max="522" width="6.42578125" style="244" customWidth="1"/>
    <col min="523" max="523" width="4.5703125" style="244" customWidth="1"/>
    <col min="524" max="524" width="6.140625" style="244" customWidth="1"/>
    <col min="525" max="526" width="4.7109375" style="244" customWidth="1"/>
    <col min="527" max="527" width="5.140625" style="244" customWidth="1"/>
    <col min="528" max="528" width="8.5703125" style="244" customWidth="1"/>
    <col min="529" max="529" width="9.5703125" style="244" customWidth="1"/>
    <col min="530" max="530" width="8.7109375" style="244" customWidth="1"/>
    <col min="531" max="531" width="9.28515625" style="244" customWidth="1"/>
    <col min="532" max="532" width="8.7109375" style="244" customWidth="1"/>
    <col min="533" max="533" width="9.28515625" style="244" customWidth="1"/>
    <col min="534" max="534" width="8.7109375" style="244" customWidth="1"/>
    <col min="535" max="535" width="9.28515625" style="244" customWidth="1"/>
    <col min="536" max="772" width="9.140625" style="244"/>
    <col min="773" max="773" width="1.42578125" style="244" customWidth="1"/>
    <col min="774" max="774" width="3.42578125" style="244" customWidth="1"/>
    <col min="775" max="775" width="11.42578125" style="244" customWidth="1"/>
    <col min="776" max="776" width="7.28515625" style="244" customWidth="1"/>
    <col min="777" max="777" width="14" style="244" customWidth="1"/>
    <col min="778" max="778" width="6.42578125" style="244" customWidth="1"/>
    <col min="779" max="779" width="4.5703125" style="244" customWidth="1"/>
    <col min="780" max="780" width="6.140625" style="244" customWidth="1"/>
    <col min="781" max="782" width="4.7109375" style="244" customWidth="1"/>
    <col min="783" max="783" width="5.140625" style="244" customWidth="1"/>
    <col min="784" max="784" width="8.5703125" style="244" customWidth="1"/>
    <col min="785" max="785" width="9.5703125" style="244" customWidth="1"/>
    <col min="786" max="786" width="8.7109375" style="244" customWidth="1"/>
    <col min="787" max="787" width="9.28515625" style="244" customWidth="1"/>
    <col min="788" max="788" width="8.7109375" style="244" customWidth="1"/>
    <col min="789" max="789" width="9.28515625" style="244" customWidth="1"/>
    <col min="790" max="790" width="8.7109375" style="244" customWidth="1"/>
    <col min="791" max="791" width="9.28515625" style="244" customWidth="1"/>
    <col min="792" max="1028" width="9.140625" style="244"/>
    <col min="1029" max="1029" width="1.42578125" style="244" customWidth="1"/>
    <col min="1030" max="1030" width="3.42578125" style="244" customWidth="1"/>
    <col min="1031" max="1031" width="11.42578125" style="244" customWidth="1"/>
    <col min="1032" max="1032" width="7.28515625" style="244" customWidth="1"/>
    <col min="1033" max="1033" width="14" style="244" customWidth="1"/>
    <col min="1034" max="1034" width="6.42578125" style="244" customWidth="1"/>
    <col min="1035" max="1035" width="4.5703125" style="244" customWidth="1"/>
    <col min="1036" max="1036" width="6.140625" style="244" customWidth="1"/>
    <col min="1037" max="1038" width="4.7109375" style="244" customWidth="1"/>
    <col min="1039" max="1039" width="5.140625" style="244" customWidth="1"/>
    <col min="1040" max="1040" width="8.5703125" style="244" customWidth="1"/>
    <col min="1041" max="1041" width="9.5703125" style="244" customWidth="1"/>
    <col min="1042" max="1042" width="8.7109375" style="244" customWidth="1"/>
    <col min="1043" max="1043" width="9.28515625" style="244" customWidth="1"/>
    <col min="1044" max="1044" width="8.7109375" style="244" customWidth="1"/>
    <col min="1045" max="1045" width="9.28515625" style="244" customWidth="1"/>
    <col min="1046" max="1046" width="8.7109375" style="244" customWidth="1"/>
    <col min="1047" max="1047" width="9.28515625" style="244" customWidth="1"/>
    <col min="1048" max="1284" width="9.140625" style="244"/>
    <col min="1285" max="1285" width="1.42578125" style="244" customWidth="1"/>
    <col min="1286" max="1286" width="3.42578125" style="244" customWidth="1"/>
    <col min="1287" max="1287" width="11.42578125" style="244" customWidth="1"/>
    <col min="1288" max="1288" width="7.28515625" style="244" customWidth="1"/>
    <col min="1289" max="1289" width="14" style="244" customWidth="1"/>
    <col min="1290" max="1290" width="6.42578125" style="244" customWidth="1"/>
    <col min="1291" max="1291" width="4.5703125" style="244" customWidth="1"/>
    <col min="1292" max="1292" width="6.140625" style="244" customWidth="1"/>
    <col min="1293" max="1294" width="4.7109375" style="244" customWidth="1"/>
    <col min="1295" max="1295" width="5.140625" style="244" customWidth="1"/>
    <col min="1296" max="1296" width="8.5703125" style="244" customWidth="1"/>
    <col min="1297" max="1297" width="9.5703125" style="244" customWidth="1"/>
    <col min="1298" max="1298" width="8.7109375" style="244" customWidth="1"/>
    <col min="1299" max="1299" width="9.28515625" style="244" customWidth="1"/>
    <col min="1300" max="1300" width="8.7109375" style="244" customWidth="1"/>
    <col min="1301" max="1301" width="9.28515625" style="244" customWidth="1"/>
    <col min="1302" max="1302" width="8.7109375" style="244" customWidth="1"/>
    <col min="1303" max="1303" width="9.28515625" style="244" customWidth="1"/>
    <col min="1304" max="1540" width="9.140625" style="244"/>
    <col min="1541" max="1541" width="1.42578125" style="244" customWidth="1"/>
    <col min="1542" max="1542" width="3.42578125" style="244" customWidth="1"/>
    <col min="1543" max="1543" width="11.42578125" style="244" customWidth="1"/>
    <col min="1544" max="1544" width="7.28515625" style="244" customWidth="1"/>
    <col min="1545" max="1545" width="14" style="244" customWidth="1"/>
    <col min="1546" max="1546" width="6.42578125" style="244" customWidth="1"/>
    <col min="1547" max="1547" width="4.5703125" style="244" customWidth="1"/>
    <col min="1548" max="1548" width="6.140625" style="244" customWidth="1"/>
    <col min="1549" max="1550" width="4.7109375" style="244" customWidth="1"/>
    <col min="1551" max="1551" width="5.140625" style="244" customWidth="1"/>
    <col min="1552" max="1552" width="8.5703125" style="244" customWidth="1"/>
    <col min="1553" max="1553" width="9.5703125" style="244" customWidth="1"/>
    <col min="1554" max="1554" width="8.7109375" style="244" customWidth="1"/>
    <col min="1555" max="1555" width="9.28515625" style="244" customWidth="1"/>
    <col min="1556" max="1556" width="8.7109375" style="244" customWidth="1"/>
    <col min="1557" max="1557" width="9.28515625" style="244" customWidth="1"/>
    <col min="1558" max="1558" width="8.7109375" style="244" customWidth="1"/>
    <col min="1559" max="1559" width="9.28515625" style="244" customWidth="1"/>
    <col min="1560" max="1796" width="9.140625" style="244"/>
    <col min="1797" max="1797" width="1.42578125" style="244" customWidth="1"/>
    <col min="1798" max="1798" width="3.42578125" style="244" customWidth="1"/>
    <col min="1799" max="1799" width="11.42578125" style="244" customWidth="1"/>
    <col min="1800" max="1800" width="7.28515625" style="244" customWidth="1"/>
    <col min="1801" max="1801" width="14" style="244" customWidth="1"/>
    <col min="1802" max="1802" width="6.42578125" style="244" customWidth="1"/>
    <col min="1803" max="1803" width="4.5703125" style="244" customWidth="1"/>
    <col min="1804" max="1804" width="6.140625" style="244" customWidth="1"/>
    <col min="1805" max="1806" width="4.7109375" style="244" customWidth="1"/>
    <col min="1807" max="1807" width="5.140625" style="244" customWidth="1"/>
    <col min="1808" max="1808" width="8.5703125" style="244" customWidth="1"/>
    <col min="1809" max="1809" width="9.5703125" style="244" customWidth="1"/>
    <col min="1810" max="1810" width="8.7109375" style="244" customWidth="1"/>
    <col min="1811" max="1811" width="9.28515625" style="244" customWidth="1"/>
    <col min="1812" max="1812" width="8.7109375" style="244" customWidth="1"/>
    <col min="1813" max="1813" width="9.28515625" style="244" customWidth="1"/>
    <col min="1814" max="1814" width="8.7109375" style="244" customWidth="1"/>
    <col min="1815" max="1815" width="9.28515625" style="244" customWidth="1"/>
    <col min="1816" max="2052" width="9.140625" style="244"/>
    <col min="2053" max="2053" width="1.42578125" style="244" customWidth="1"/>
    <col min="2054" max="2054" width="3.42578125" style="244" customWidth="1"/>
    <col min="2055" max="2055" width="11.42578125" style="244" customWidth="1"/>
    <col min="2056" max="2056" width="7.28515625" style="244" customWidth="1"/>
    <col min="2057" max="2057" width="14" style="244" customWidth="1"/>
    <col min="2058" max="2058" width="6.42578125" style="244" customWidth="1"/>
    <col min="2059" max="2059" width="4.5703125" style="244" customWidth="1"/>
    <col min="2060" max="2060" width="6.140625" style="244" customWidth="1"/>
    <col min="2061" max="2062" width="4.7109375" style="244" customWidth="1"/>
    <col min="2063" max="2063" width="5.140625" style="244" customWidth="1"/>
    <col min="2064" max="2064" width="8.5703125" style="244" customWidth="1"/>
    <col min="2065" max="2065" width="9.5703125" style="244" customWidth="1"/>
    <col min="2066" max="2066" width="8.7109375" style="244" customWidth="1"/>
    <col min="2067" max="2067" width="9.28515625" style="244" customWidth="1"/>
    <col min="2068" max="2068" width="8.7109375" style="244" customWidth="1"/>
    <col min="2069" max="2069" width="9.28515625" style="244" customWidth="1"/>
    <col min="2070" max="2070" width="8.7109375" style="244" customWidth="1"/>
    <col min="2071" max="2071" width="9.28515625" style="244" customWidth="1"/>
    <col min="2072" max="2308" width="9.140625" style="244"/>
    <col min="2309" max="2309" width="1.42578125" style="244" customWidth="1"/>
    <col min="2310" max="2310" width="3.42578125" style="244" customWidth="1"/>
    <col min="2311" max="2311" width="11.42578125" style="244" customWidth="1"/>
    <col min="2312" max="2312" width="7.28515625" style="244" customWidth="1"/>
    <col min="2313" max="2313" width="14" style="244" customWidth="1"/>
    <col min="2314" max="2314" width="6.42578125" style="244" customWidth="1"/>
    <col min="2315" max="2315" width="4.5703125" style="244" customWidth="1"/>
    <col min="2316" max="2316" width="6.140625" style="244" customWidth="1"/>
    <col min="2317" max="2318" width="4.7109375" style="244" customWidth="1"/>
    <col min="2319" max="2319" width="5.140625" style="244" customWidth="1"/>
    <col min="2320" max="2320" width="8.5703125" style="244" customWidth="1"/>
    <col min="2321" max="2321" width="9.5703125" style="244" customWidth="1"/>
    <col min="2322" max="2322" width="8.7109375" style="244" customWidth="1"/>
    <col min="2323" max="2323" width="9.28515625" style="244" customWidth="1"/>
    <col min="2324" max="2324" width="8.7109375" style="244" customWidth="1"/>
    <col min="2325" max="2325" width="9.28515625" style="244" customWidth="1"/>
    <col min="2326" max="2326" width="8.7109375" style="244" customWidth="1"/>
    <col min="2327" max="2327" width="9.28515625" style="244" customWidth="1"/>
    <col min="2328" max="2564" width="9.140625" style="244"/>
    <col min="2565" max="2565" width="1.42578125" style="244" customWidth="1"/>
    <col min="2566" max="2566" width="3.42578125" style="244" customWidth="1"/>
    <col min="2567" max="2567" width="11.42578125" style="244" customWidth="1"/>
    <col min="2568" max="2568" width="7.28515625" style="244" customWidth="1"/>
    <col min="2569" max="2569" width="14" style="244" customWidth="1"/>
    <col min="2570" max="2570" width="6.42578125" style="244" customWidth="1"/>
    <col min="2571" max="2571" width="4.5703125" style="244" customWidth="1"/>
    <col min="2572" max="2572" width="6.140625" style="244" customWidth="1"/>
    <col min="2573" max="2574" width="4.7109375" style="244" customWidth="1"/>
    <col min="2575" max="2575" width="5.140625" style="244" customWidth="1"/>
    <col min="2576" max="2576" width="8.5703125" style="244" customWidth="1"/>
    <col min="2577" max="2577" width="9.5703125" style="244" customWidth="1"/>
    <col min="2578" max="2578" width="8.7109375" style="244" customWidth="1"/>
    <col min="2579" max="2579" width="9.28515625" style="244" customWidth="1"/>
    <col min="2580" max="2580" width="8.7109375" style="244" customWidth="1"/>
    <col min="2581" max="2581" width="9.28515625" style="244" customWidth="1"/>
    <col min="2582" max="2582" width="8.7109375" style="244" customWidth="1"/>
    <col min="2583" max="2583" width="9.28515625" style="244" customWidth="1"/>
    <col min="2584" max="2820" width="9.140625" style="244"/>
    <col min="2821" max="2821" width="1.42578125" style="244" customWidth="1"/>
    <col min="2822" max="2822" width="3.42578125" style="244" customWidth="1"/>
    <col min="2823" max="2823" width="11.42578125" style="244" customWidth="1"/>
    <col min="2824" max="2824" width="7.28515625" style="244" customWidth="1"/>
    <col min="2825" max="2825" width="14" style="244" customWidth="1"/>
    <col min="2826" max="2826" width="6.42578125" style="244" customWidth="1"/>
    <col min="2827" max="2827" width="4.5703125" style="244" customWidth="1"/>
    <col min="2828" max="2828" width="6.140625" style="244" customWidth="1"/>
    <col min="2829" max="2830" width="4.7109375" style="244" customWidth="1"/>
    <col min="2831" max="2831" width="5.140625" style="244" customWidth="1"/>
    <col min="2832" max="2832" width="8.5703125" style="244" customWidth="1"/>
    <col min="2833" max="2833" width="9.5703125" style="244" customWidth="1"/>
    <col min="2834" max="2834" width="8.7109375" style="244" customWidth="1"/>
    <col min="2835" max="2835" width="9.28515625" style="244" customWidth="1"/>
    <col min="2836" max="2836" width="8.7109375" style="244" customWidth="1"/>
    <col min="2837" max="2837" width="9.28515625" style="244" customWidth="1"/>
    <col min="2838" max="2838" width="8.7109375" style="244" customWidth="1"/>
    <col min="2839" max="2839" width="9.28515625" style="244" customWidth="1"/>
    <col min="2840" max="3076" width="9.140625" style="244"/>
    <col min="3077" max="3077" width="1.42578125" style="244" customWidth="1"/>
    <col min="3078" max="3078" width="3.42578125" style="244" customWidth="1"/>
    <col min="3079" max="3079" width="11.42578125" style="244" customWidth="1"/>
    <col min="3080" max="3080" width="7.28515625" style="244" customWidth="1"/>
    <col min="3081" max="3081" width="14" style="244" customWidth="1"/>
    <col min="3082" max="3082" width="6.42578125" style="244" customWidth="1"/>
    <col min="3083" max="3083" width="4.5703125" style="244" customWidth="1"/>
    <col min="3084" max="3084" width="6.140625" style="244" customWidth="1"/>
    <col min="3085" max="3086" width="4.7109375" style="244" customWidth="1"/>
    <col min="3087" max="3087" width="5.140625" style="244" customWidth="1"/>
    <col min="3088" max="3088" width="8.5703125" style="244" customWidth="1"/>
    <col min="3089" max="3089" width="9.5703125" style="244" customWidth="1"/>
    <col min="3090" max="3090" width="8.7109375" style="244" customWidth="1"/>
    <col min="3091" max="3091" width="9.28515625" style="244" customWidth="1"/>
    <col min="3092" max="3092" width="8.7109375" style="244" customWidth="1"/>
    <col min="3093" max="3093" width="9.28515625" style="244" customWidth="1"/>
    <col min="3094" max="3094" width="8.7109375" style="244" customWidth="1"/>
    <col min="3095" max="3095" width="9.28515625" style="244" customWidth="1"/>
    <col min="3096" max="3332" width="9.140625" style="244"/>
    <col min="3333" max="3333" width="1.42578125" style="244" customWidth="1"/>
    <col min="3334" max="3334" width="3.42578125" style="244" customWidth="1"/>
    <col min="3335" max="3335" width="11.42578125" style="244" customWidth="1"/>
    <col min="3336" max="3336" width="7.28515625" style="244" customWidth="1"/>
    <col min="3337" max="3337" width="14" style="244" customWidth="1"/>
    <col min="3338" max="3338" width="6.42578125" style="244" customWidth="1"/>
    <col min="3339" max="3339" width="4.5703125" style="244" customWidth="1"/>
    <col min="3340" max="3340" width="6.140625" style="244" customWidth="1"/>
    <col min="3341" max="3342" width="4.7109375" style="244" customWidth="1"/>
    <col min="3343" max="3343" width="5.140625" style="244" customWidth="1"/>
    <col min="3344" max="3344" width="8.5703125" style="244" customWidth="1"/>
    <col min="3345" max="3345" width="9.5703125" style="244" customWidth="1"/>
    <col min="3346" max="3346" width="8.7109375" style="244" customWidth="1"/>
    <col min="3347" max="3347" width="9.28515625" style="244" customWidth="1"/>
    <col min="3348" max="3348" width="8.7109375" style="244" customWidth="1"/>
    <col min="3349" max="3349" width="9.28515625" style="244" customWidth="1"/>
    <col min="3350" max="3350" width="8.7109375" style="244" customWidth="1"/>
    <col min="3351" max="3351" width="9.28515625" style="244" customWidth="1"/>
    <col min="3352" max="3588" width="9.140625" style="244"/>
    <col min="3589" max="3589" width="1.42578125" style="244" customWidth="1"/>
    <col min="3590" max="3590" width="3.42578125" style="244" customWidth="1"/>
    <col min="3591" max="3591" width="11.42578125" style="244" customWidth="1"/>
    <col min="3592" max="3592" width="7.28515625" style="244" customWidth="1"/>
    <col min="3593" max="3593" width="14" style="244" customWidth="1"/>
    <col min="3594" max="3594" width="6.42578125" style="244" customWidth="1"/>
    <col min="3595" max="3595" width="4.5703125" style="244" customWidth="1"/>
    <col min="3596" max="3596" width="6.140625" style="244" customWidth="1"/>
    <col min="3597" max="3598" width="4.7109375" style="244" customWidth="1"/>
    <col min="3599" max="3599" width="5.140625" style="244" customWidth="1"/>
    <col min="3600" max="3600" width="8.5703125" style="244" customWidth="1"/>
    <col min="3601" max="3601" width="9.5703125" style="244" customWidth="1"/>
    <col min="3602" max="3602" width="8.7109375" style="244" customWidth="1"/>
    <col min="3603" max="3603" width="9.28515625" style="244" customWidth="1"/>
    <col min="3604" max="3604" width="8.7109375" style="244" customWidth="1"/>
    <col min="3605" max="3605" width="9.28515625" style="244" customWidth="1"/>
    <col min="3606" max="3606" width="8.7109375" style="244" customWidth="1"/>
    <col min="3607" max="3607" width="9.28515625" style="244" customWidth="1"/>
    <col min="3608" max="3844" width="9.140625" style="244"/>
    <col min="3845" max="3845" width="1.42578125" style="244" customWidth="1"/>
    <col min="3846" max="3846" width="3.42578125" style="244" customWidth="1"/>
    <col min="3847" max="3847" width="11.42578125" style="244" customWidth="1"/>
    <col min="3848" max="3848" width="7.28515625" style="244" customWidth="1"/>
    <col min="3849" max="3849" width="14" style="244" customWidth="1"/>
    <col min="3850" max="3850" width="6.42578125" style="244" customWidth="1"/>
    <col min="3851" max="3851" width="4.5703125" style="244" customWidth="1"/>
    <col min="3852" max="3852" width="6.140625" style="244" customWidth="1"/>
    <col min="3853" max="3854" width="4.7109375" style="244" customWidth="1"/>
    <col min="3855" max="3855" width="5.140625" style="244" customWidth="1"/>
    <col min="3856" max="3856" width="8.5703125" style="244" customWidth="1"/>
    <col min="3857" max="3857" width="9.5703125" style="244" customWidth="1"/>
    <col min="3858" max="3858" width="8.7109375" style="244" customWidth="1"/>
    <col min="3859" max="3859" width="9.28515625" style="244" customWidth="1"/>
    <col min="3860" max="3860" width="8.7109375" style="244" customWidth="1"/>
    <col min="3861" max="3861" width="9.28515625" style="244" customWidth="1"/>
    <col min="3862" max="3862" width="8.7109375" style="244" customWidth="1"/>
    <col min="3863" max="3863" width="9.28515625" style="244" customWidth="1"/>
    <col min="3864" max="4100" width="9.140625" style="244"/>
    <col min="4101" max="4101" width="1.42578125" style="244" customWidth="1"/>
    <col min="4102" max="4102" width="3.42578125" style="244" customWidth="1"/>
    <col min="4103" max="4103" width="11.42578125" style="244" customWidth="1"/>
    <col min="4104" max="4104" width="7.28515625" style="244" customWidth="1"/>
    <col min="4105" max="4105" width="14" style="244" customWidth="1"/>
    <col min="4106" max="4106" width="6.42578125" style="244" customWidth="1"/>
    <col min="4107" max="4107" width="4.5703125" style="244" customWidth="1"/>
    <col min="4108" max="4108" width="6.140625" style="244" customWidth="1"/>
    <col min="4109" max="4110" width="4.7109375" style="244" customWidth="1"/>
    <col min="4111" max="4111" width="5.140625" style="244" customWidth="1"/>
    <col min="4112" max="4112" width="8.5703125" style="244" customWidth="1"/>
    <col min="4113" max="4113" width="9.5703125" style="244" customWidth="1"/>
    <col min="4114" max="4114" width="8.7109375" style="244" customWidth="1"/>
    <col min="4115" max="4115" width="9.28515625" style="244" customWidth="1"/>
    <col min="4116" max="4116" width="8.7109375" style="244" customWidth="1"/>
    <col min="4117" max="4117" width="9.28515625" style="244" customWidth="1"/>
    <col min="4118" max="4118" width="8.7109375" style="244" customWidth="1"/>
    <col min="4119" max="4119" width="9.28515625" style="244" customWidth="1"/>
    <col min="4120" max="4356" width="9.140625" style="244"/>
    <col min="4357" max="4357" width="1.42578125" style="244" customWidth="1"/>
    <col min="4358" max="4358" width="3.42578125" style="244" customWidth="1"/>
    <col min="4359" max="4359" width="11.42578125" style="244" customWidth="1"/>
    <col min="4360" max="4360" width="7.28515625" style="244" customWidth="1"/>
    <col min="4361" max="4361" width="14" style="244" customWidth="1"/>
    <col min="4362" max="4362" width="6.42578125" style="244" customWidth="1"/>
    <col min="4363" max="4363" width="4.5703125" style="244" customWidth="1"/>
    <col min="4364" max="4364" width="6.140625" style="244" customWidth="1"/>
    <col min="4365" max="4366" width="4.7109375" style="244" customWidth="1"/>
    <col min="4367" max="4367" width="5.140625" style="244" customWidth="1"/>
    <col min="4368" max="4368" width="8.5703125" style="244" customWidth="1"/>
    <col min="4369" max="4369" width="9.5703125" style="244" customWidth="1"/>
    <col min="4370" max="4370" width="8.7109375" style="244" customWidth="1"/>
    <col min="4371" max="4371" width="9.28515625" style="244" customWidth="1"/>
    <col min="4372" max="4372" width="8.7109375" style="244" customWidth="1"/>
    <col min="4373" max="4373" width="9.28515625" style="244" customWidth="1"/>
    <col min="4374" max="4374" width="8.7109375" style="244" customWidth="1"/>
    <col min="4375" max="4375" width="9.28515625" style="244" customWidth="1"/>
    <col min="4376" max="4612" width="9.140625" style="244"/>
    <col min="4613" max="4613" width="1.42578125" style="244" customWidth="1"/>
    <col min="4614" max="4614" width="3.42578125" style="244" customWidth="1"/>
    <col min="4615" max="4615" width="11.42578125" style="244" customWidth="1"/>
    <col min="4616" max="4616" width="7.28515625" style="244" customWidth="1"/>
    <col min="4617" max="4617" width="14" style="244" customWidth="1"/>
    <col min="4618" max="4618" width="6.42578125" style="244" customWidth="1"/>
    <col min="4619" max="4619" width="4.5703125" style="244" customWidth="1"/>
    <col min="4620" max="4620" width="6.140625" style="244" customWidth="1"/>
    <col min="4621" max="4622" width="4.7109375" style="244" customWidth="1"/>
    <col min="4623" max="4623" width="5.140625" style="244" customWidth="1"/>
    <col min="4624" max="4624" width="8.5703125" style="244" customWidth="1"/>
    <col min="4625" max="4625" width="9.5703125" style="244" customWidth="1"/>
    <col min="4626" max="4626" width="8.7109375" style="244" customWidth="1"/>
    <col min="4627" max="4627" width="9.28515625" style="244" customWidth="1"/>
    <col min="4628" max="4628" width="8.7109375" style="244" customWidth="1"/>
    <col min="4629" max="4629" width="9.28515625" style="244" customWidth="1"/>
    <col min="4630" max="4630" width="8.7109375" style="244" customWidth="1"/>
    <col min="4631" max="4631" width="9.28515625" style="244" customWidth="1"/>
    <col min="4632" max="4868" width="9.140625" style="244"/>
    <col min="4869" max="4869" width="1.42578125" style="244" customWidth="1"/>
    <col min="4870" max="4870" width="3.42578125" style="244" customWidth="1"/>
    <col min="4871" max="4871" width="11.42578125" style="244" customWidth="1"/>
    <col min="4872" max="4872" width="7.28515625" style="244" customWidth="1"/>
    <col min="4873" max="4873" width="14" style="244" customWidth="1"/>
    <col min="4874" max="4874" width="6.42578125" style="244" customWidth="1"/>
    <col min="4875" max="4875" width="4.5703125" style="244" customWidth="1"/>
    <col min="4876" max="4876" width="6.140625" style="244" customWidth="1"/>
    <col min="4877" max="4878" width="4.7109375" style="244" customWidth="1"/>
    <col min="4879" max="4879" width="5.140625" style="244" customWidth="1"/>
    <col min="4880" max="4880" width="8.5703125" style="244" customWidth="1"/>
    <col min="4881" max="4881" width="9.5703125" style="244" customWidth="1"/>
    <col min="4882" max="4882" width="8.7109375" style="244" customWidth="1"/>
    <col min="4883" max="4883" width="9.28515625" style="244" customWidth="1"/>
    <col min="4884" max="4884" width="8.7109375" style="244" customWidth="1"/>
    <col min="4885" max="4885" width="9.28515625" style="244" customWidth="1"/>
    <col min="4886" max="4886" width="8.7109375" style="244" customWidth="1"/>
    <col min="4887" max="4887" width="9.28515625" style="244" customWidth="1"/>
    <col min="4888" max="5124" width="9.140625" style="244"/>
    <col min="5125" max="5125" width="1.42578125" style="244" customWidth="1"/>
    <col min="5126" max="5126" width="3.42578125" style="244" customWidth="1"/>
    <col min="5127" max="5127" width="11.42578125" style="244" customWidth="1"/>
    <col min="5128" max="5128" width="7.28515625" style="244" customWidth="1"/>
    <col min="5129" max="5129" width="14" style="244" customWidth="1"/>
    <col min="5130" max="5130" width="6.42578125" style="244" customWidth="1"/>
    <col min="5131" max="5131" width="4.5703125" style="244" customWidth="1"/>
    <col min="5132" max="5132" width="6.140625" style="244" customWidth="1"/>
    <col min="5133" max="5134" width="4.7109375" style="244" customWidth="1"/>
    <col min="5135" max="5135" width="5.140625" style="244" customWidth="1"/>
    <col min="5136" max="5136" width="8.5703125" style="244" customWidth="1"/>
    <col min="5137" max="5137" width="9.5703125" style="244" customWidth="1"/>
    <col min="5138" max="5138" width="8.7109375" style="244" customWidth="1"/>
    <col min="5139" max="5139" width="9.28515625" style="244" customWidth="1"/>
    <col min="5140" max="5140" width="8.7109375" style="244" customWidth="1"/>
    <col min="5141" max="5141" width="9.28515625" style="244" customWidth="1"/>
    <col min="5142" max="5142" width="8.7109375" style="244" customWidth="1"/>
    <col min="5143" max="5143" width="9.28515625" style="244" customWidth="1"/>
    <col min="5144" max="5380" width="9.140625" style="244"/>
    <col min="5381" max="5381" width="1.42578125" style="244" customWidth="1"/>
    <col min="5382" max="5382" width="3.42578125" style="244" customWidth="1"/>
    <col min="5383" max="5383" width="11.42578125" style="244" customWidth="1"/>
    <col min="5384" max="5384" width="7.28515625" style="244" customWidth="1"/>
    <col min="5385" max="5385" width="14" style="244" customWidth="1"/>
    <col min="5386" max="5386" width="6.42578125" style="244" customWidth="1"/>
    <col min="5387" max="5387" width="4.5703125" style="244" customWidth="1"/>
    <col min="5388" max="5388" width="6.140625" style="244" customWidth="1"/>
    <col min="5389" max="5390" width="4.7109375" style="244" customWidth="1"/>
    <col min="5391" max="5391" width="5.140625" style="244" customWidth="1"/>
    <col min="5392" max="5392" width="8.5703125" style="244" customWidth="1"/>
    <col min="5393" max="5393" width="9.5703125" style="244" customWidth="1"/>
    <col min="5394" max="5394" width="8.7109375" style="244" customWidth="1"/>
    <col min="5395" max="5395" width="9.28515625" style="244" customWidth="1"/>
    <col min="5396" max="5396" width="8.7109375" style="244" customWidth="1"/>
    <col min="5397" max="5397" width="9.28515625" style="244" customWidth="1"/>
    <col min="5398" max="5398" width="8.7109375" style="244" customWidth="1"/>
    <col min="5399" max="5399" width="9.28515625" style="244" customWidth="1"/>
    <col min="5400" max="5636" width="9.140625" style="244"/>
    <col min="5637" max="5637" width="1.42578125" style="244" customWidth="1"/>
    <col min="5638" max="5638" width="3.42578125" style="244" customWidth="1"/>
    <col min="5639" max="5639" width="11.42578125" style="244" customWidth="1"/>
    <col min="5640" max="5640" width="7.28515625" style="244" customWidth="1"/>
    <col min="5641" max="5641" width="14" style="244" customWidth="1"/>
    <col min="5642" max="5642" width="6.42578125" style="244" customWidth="1"/>
    <col min="5643" max="5643" width="4.5703125" style="244" customWidth="1"/>
    <col min="5644" max="5644" width="6.140625" style="244" customWidth="1"/>
    <col min="5645" max="5646" width="4.7109375" style="244" customWidth="1"/>
    <col min="5647" max="5647" width="5.140625" style="244" customWidth="1"/>
    <col min="5648" max="5648" width="8.5703125" style="244" customWidth="1"/>
    <col min="5649" max="5649" width="9.5703125" style="244" customWidth="1"/>
    <col min="5650" max="5650" width="8.7109375" style="244" customWidth="1"/>
    <col min="5651" max="5651" width="9.28515625" style="244" customWidth="1"/>
    <col min="5652" max="5652" width="8.7109375" style="244" customWidth="1"/>
    <col min="5653" max="5653" width="9.28515625" style="244" customWidth="1"/>
    <col min="5654" max="5654" width="8.7109375" style="244" customWidth="1"/>
    <col min="5655" max="5655" width="9.28515625" style="244" customWidth="1"/>
    <col min="5656" max="5892" width="9.140625" style="244"/>
    <col min="5893" max="5893" width="1.42578125" style="244" customWidth="1"/>
    <col min="5894" max="5894" width="3.42578125" style="244" customWidth="1"/>
    <col min="5895" max="5895" width="11.42578125" style="244" customWidth="1"/>
    <col min="5896" max="5896" width="7.28515625" style="244" customWidth="1"/>
    <col min="5897" max="5897" width="14" style="244" customWidth="1"/>
    <col min="5898" max="5898" width="6.42578125" style="244" customWidth="1"/>
    <col min="5899" max="5899" width="4.5703125" style="244" customWidth="1"/>
    <col min="5900" max="5900" width="6.140625" style="244" customWidth="1"/>
    <col min="5901" max="5902" width="4.7109375" style="244" customWidth="1"/>
    <col min="5903" max="5903" width="5.140625" style="244" customWidth="1"/>
    <col min="5904" max="5904" width="8.5703125" style="244" customWidth="1"/>
    <col min="5905" max="5905" width="9.5703125" style="244" customWidth="1"/>
    <col min="5906" max="5906" width="8.7109375" style="244" customWidth="1"/>
    <col min="5907" max="5907" width="9.28515625" style="244" customWidth="1"/>
    <col min="5908" max="5908" width="8.7109375" style="244" customWidth="1"/>
    <col min="5909" max="5909" width="9.28515625" style="244" customWidth="1"/>
    <col min="5910" max="5910" width="8.7109375" style="244" customWidth="1"/>
    <col min="5911" max="5911" width="9.28515625" style="244" customWidth="1"/>
    <col min="5912" max="6148" width="9.140625" style="244"/>
    <col min="6149" max="6149" width="1.42578125" style="244" customWidth="1"/>
    <col min="6150" max="6150" width="3.42578125" style="244" customWidth="1"/>
    <col min="6151" max="6151" width="11.42578125" style="244" customWidth="1"/>
    <col min="6152" max="6152" width="7.28515625" style="244" customWidth="1"/>
    <col min="6153" max="6153" width="14" style="244" customWidth="1"/>
    <col min="6154" max="6154" width="6.42578125" style="244" customWidth="1"/>
    <col min="6155" max="6155" width="4.5703125" style="244" customWidth="1"/>
    <col min="6156" max="6156" width="6.140625" style="244" customWidth="1"/>
    <col min="6157" max="6158" width="4.7109375" style="244" customWidth="1"/>
    <col min="6159" max="6159" width="5.140625" style="244" customWidth="1"/>
    <col min="6160" max="6160" width="8.5703125" style="244" customWidth="1"/>
    <col min="6161" max="6161" width="9.5703125" style="244" customWidth="1"/>
    <col min="6162" max="6162" width="8.7109375" style="244" customWidth="1"/>
    <col min="6163" max="6163" width="9.28515625" style="244" customWidth="1"/>
    <col min="6164" max="6164" width="8.7109375" style="244" customWidth="1"/>
    <col min="6165" max="6165" width="9.28515625" style="244" customWidth="1"/>
    <col min="6166" max="6166" width="8.7109375" style="244" customWidth="1"/>
    <col min="6167" max="6167" width="9.28515625" style="244" customWidth="1"/>
    <col min="6168" max="6404" width="9.140625" style="244"/>
    <col min="6405" max="6405" width="1.42578125" style="244" customWidth="1"/>
    <col min="6406" max="6406" width="3.42578125" style="244" customWidth="1"/>
    <col min="6407" max="6407" width="11.42578125" style="244" customWidth="1"/>
    <col min="6408" max="6408" width="7.28515625" style="244" customWidth="1"/>
    <col min="6409" max="6409" width="14" style="244" customWidth="1"/>
    <col min="6410" max="6410" width="6.42578125" style="244" customWidth="1"/>
    <col min="6411" max="6411" width="4.5703125" style="244" customWidth="1"/>
    <col min="6412" max="6412" width="6.140625" style="244" customWidth="1"/>
    <col min="6413" max="6414" width="4.7109375" style="244" customWidth="1"/>
    <col min="6415" max="6415" width="5.140625" style="244" customWidth="1"/>
    <col min="6416" max="6416" width="8.5703125" style="244" customWidth="1"/>
    <col min="6417" max="6417" width="9.5703125" style="244" customWidth="1"/>
    <col min="6418" max="6418" width="8.7109375" style="244" customWidth="1"/>
    <col min="6419" max="6419" width="9.28515625" style="244" customWidth="1"/>
    <col min="6420" max="6420" width="8.7109375" style="244" customWidth="1"/>
    <col min="6421" max="6421" width="9.28515625" style="244" customWidth="1"/>
    <col min="6422" max="6422" width="8.7109375" style="244" customWidth="1"/>
    <col min="6423" max="6423" width="9.28515625" style="244" customWidth="1"/>
    <col min="6424" max="6660" width="9.140625" style="244"/>
    <col min="6661" max="6661" width="1.42578125" style="244" customWidth="1"/>
    <col min="6662" max="6662" width="3.42578125" style="244" customWidth="1"/>
    <col min="6663" max="6663" width="11.42578125" style="244" customWidth="1"/>
    <col min="6664" max="6664" width="7.28515625" style="244" customWidth="1"/>
    <col min="6665" max="6665" width="14" style="244" customWidth="1"/>
    <col min="6666" max="6666" width="6.42578125" style="244" customWidth="1"/>
    <col min="6667" max="6667" width="4.5703125" style="244" customWidth="1"/>
    <col min="6668" max="6668" width="6.140625" style="244" customWidth="1"/>
    <col min="6669" max="6670" width="4.7109375" style="244" customWidth="1"/>
    <col min="6671" max="6671" width="5.140625" style="244" customWidth="1"/>
    <col min="6672" max="6672" width="8.5703125" style="244" customWidth="1"/>
    <col min="6673" max="6673" width="9.5703125" style="244" customWidth="1"/>
    <col min="6674" max="6674" width="8.7109375" style="244" customWidth="1"/>
    <col min="6675" max="6675" width="9.28515625" style="244" customWidth="1"/>
    <col min="6676" max="6676" width="8.7109375" style="244" customWidth="1"/>
    <col min="6677" max="6677" width="9.28515625" style="244" customWidth="1"/>
    <col min="6678" max="6678" width="8.7109375" style="244" customWidth="1"/>
    <col min="6679" max="6679" width="9.28515625" style="244" customWidth="1"/>
    <col min="6680" max="6916" width="9.140625" style="244"/>
    <col min="6917" max="6917" width="1.42578125" style="244" customWidth="1"/>
    <col min="6918" max="6918" width="3.42578125" style="244" customWidth="1"/>
    <col min="6919" max="6919" width="11.42578125" style="244" customWidth="1"/>
    <col min="6920" max="6920" width="7.28515625" style="244" customWidth="1"/>
    <col min="6921" max="6921" width="14" style="244" customWidth="1"/>
    <col min="6922" max="6922" width="6.42578125" style="244" customWidth="1"/>
    <col min="6923" max="6923" width="4.5703125" style="244" customWidth="1"/>
    <col min="6924" max="6924" width="6.140625" style="244" customWidth="1"/>
    <col min="6925" max="6926" width="4.7109375" style="244" customWidth="1"/>
    <col min="6927" max="6927" width="5.140625" style="244" customWidth="1"/>
    <col min="6928" max="6928" width="8.5703125" style="244" customWidth="1"/>
    <col min="6929" max="6929" width="9.5703125" style="244" customWidth="1"/>
    <col min="6930" max="6930" width="8.7109375" style="244" customWidth="1"/>
    <col min="6931" max="6931" width="9.28515625" style="244" customWidth="1"/>
    <col min="6932" max="6932" width="8.7109375" style="244" customWidth="1"/>
    <col min="6933" max="6933" width="9.28515625" style="244" customWidth="1"/>
    <col min="6934" max="6934" width="8.7109375" style="244" customWidth="1"/>
    <col min="6935" max="6935" width="9.28515625" style="244" customWidth="1"/>
    <col min="6936" max="7172" width="9.140625" style="244"/>
    <col min="7173" max="7173" width="1.42578125" style="244" customWidth="1"/>
    <col min="7174" max="7174" width="3.42578125" style="244" customWidth="1"/>
    <col min="7175" max="7175" width="11.42578125" style="244" customWidth="1"/>
    <col min="7176" max="7176" width="7.28515625" style="244" customWidth="1"/>
    <col min="7177" max="7177" width="14" style="244" customWidth="1"/>
    <col min="7178" max="7178" width="6.42578125" style="244" customWidth="1"/>
    <col min="7179" max="7179" width="4.5703125" style="244" customWidth="1"/>
    <col min="7180" max="7180" width="6.140625" style="244" customWidth="1"/>
    <col min="7181" max="7182" width="4.7109375" style="244" customWidth="1"/>
    <col min="7183" max="7183" width="5.140625" style="244" customWidth="1"/>
    <col min="7184" max="7184" width="8.5703125" style="244" customWidth="1"/>
    <col min="7185" max="7185" width="9.5703125" style="244" customWidth="1"/>
    <col min="7186" max="7186" width="8.7109375" style="244" customWidth="1"/>
    <col min="7187" max="7187" width="9.28515625" style="244" customWidth="1"/>
    <col min="7188" max="7188" width="8.7109375" style="244" customWidth="1"/>
    <col min="7189" max="7189" width="9.28515625" style="244" customWidth="1"/>
    <col min="7190" max="7190" width="8.7109375" style="244" customWidth="1"/>
    <col min="7191" max="7191" width="9.28515625" style="244" customWidth="1"/>
    <col min="7192" max="7428" width="9.140625" style="244"/>
    <col min="7429" max="7429" width="1.42578125" style="244" customWidth="1"/>
    <col min="7430" max="7430" width="3.42578125" style="244" customWidth="1"/>
    <col min="7431" max="7431" width="11.42578125" style="244" customWidth="1"/>
    <col min="7432" max="7432" width="7.28515625" style="244" customWidth="1"/>
    <col min="7433" max="7433" width="14" style="244" customWidth="1"/>
    <col min="7434" max="7434" width="6.42578125" style="244" customWidth="1"/>
    <col min="7435" max="7435" width="4.5703125" style="244" customWidth="1"/>
    <col min="7436" max="7436" width="6.140625" style="244" customWidth="1"/>
    <col min="7437" max="7438" width="4.7109375" style="244" customWidth="1"/>
    <col min="7439" max="7439" width="5.140625" style="244" customWidth="1"/>
    <col min="7440" max="7440" width="8.5703125" style="244" customWidth="1"/>
    <col min="7441" max="7441" width="9.5703125" style="244" customWidth="1"/>
    <col min="7442" max="7442" width="8.7109375" style="244" customWidth="1"/>
    <col min="7443" max="7443" width="9.28515625" style="244" customWidth="1"/>
    <col min="7444" max="7444" width="8.7109375" style="244" customWidth="1"/>
    <col min="7445" max="7445" width="9.28515625" style="244" customWidth="1"/>
    <col min="7446" max="7446" width="8.7109375" style="244" customWidth="1"/>
    <col min="7447" max="7447" width="9.28515625" style="244" customWidth="1"/>
    <col min="7448" max="7684" width="9.140625" style="244"/>
    <col min="7685" max="7685" width="1.42578125" style="244" customWidth="1"/>
    <col min="7686" max="7686" width="3.42578125" style="244" customWidth="1"/>
    <col min="7687" max="7687" width="11.42578125" style="244" customWidth="1"/>
    <col min="7688" max="7688" width="7.28515625" style="244" customWidth="1"/>
    <col min="7689" max="7689" width="14" style="244" customWidth="1"/>
    <col min="7690" max="7690" width="6.42578125" style="244" customWidth="1"/>
    <col min="7691" max="7691" width="4.5703125" style="244" customWidth="1"/>
    <col min="7692" max="7692" width="6.140625" style="244" customWidth="1"/>
    <col min="7693" max="7694" width="4.7109375" style="244" customWidth="1"/>
    <col min="7695" max="7695" width="5.140625" style="244" customWidth="1"/>
    <col min="7696" max="7696" width="8.5703125" style="244" customWidth="1"/>
    <col min="7697" max="7697" width="9.5703125" style="244" customWidth="1"/>
    <col min="7698" max="7698" width="8.7109375" style="244" customWidth="1"/>
    <col min="7699" max="7699" width="9.28515625" style="244" customWidth="1"/>
    <col min="7700" max="7700" width="8.7109375" style="244" customWidth="1"/>
    <col min="7701" max="7701" width="9.28515625" style="244" customWidth="1"/>
    <col min="7702" max="7702" width="8.7109375" style="244" customWidth="1"/>
    <col min="7703" max="7703" width="9.28515625" style="244" customWidth="1"/>
    <col min="7704" max="7940" width="9.140625" style="244"/>
    <col min="7941" max="7941" width="1.42578125" style="244" customWidth="1"/>
    <col min="7942" max="7942" width="3.42578125" style="244" customWidth="1"/>
    <col min="7943" max="7943" width="11.42578125" style="244" customWidth="1"/>
    <col min="7944" max="7944" width="7.28515625" style="244" customWidth="1"/>
    <col min="7945" max="7945" width="14" style="244" customWidth="1"/>
    <col min="7946" max="7946" width="6.42578125" style="244" customWidth="1"/>
    <col min="7947" max="7947" width="4.5703125" style="244" customWidth="1"/>
    <col min="7948" max="7948" width="6.140625" style="244" customWidth="1"/>
    <col min="7949" max="7950" width="4.7109375" style="244" customWidth="1"/>
    <col min="7951" max="7951" width="5.140625" style="244" customWidth="1"/>
    <col min="7952" max="7952" width="8.5703125" style="244" customWidth="1"/>
    <col min="7953" max="7953" width="9.5703125" style="244" customWidth="1"/>
    <col min="7954" max="7954" width="8.7109375" style="244" customWidth="1"/>
    <col min="7955" max="7955" width="9.28515625" style="244" customWidth="1"/>
    <col min="7956" max="7956" width="8.7109375" style="244" customWidth="1"/>
    <col min="7957" max="7957" width="9.28515625" style="244" customWidth="1"/>
    <col min="7958" max="7958" width="8.7109375" style="244" customWidth="1"/>
    <col min="7959" max="7959" width="9.28515625" style="244" customWidth="1"/>
    <col min="7960" max="8196" width="9.140625" style="244"/>
    <col min="8197" max="8197" width="1.42578125" style="244" customWidth="1"/>
    <col min="8198" max="8198" width="3.42578125" style="244" customWidth="1"/>
    <col min="8199" max="8199" width="11.42578125" style="244" customWidth="1"/>
    <col min="8200" max="8200" width="7.28515625" style="244" customWidth="1"/>
    <col min="8201" max="8201" width="14" style="244" customWidth="1"/>
    <col min="8202" max="8202" width="6.42578125" style="244" customWidth="1"/>
    <col min="8203" max="8203" width="4.5703125" style="244" customWidth="1"/>
    <col min="8204" max="8204" width="6.140625" style="244" customWidth="1"/>
    <col min="8205" max="8206" width="4.7109375" style="244" customWidth="1"/>
    <col min="8207" max="8207" width="5.140625" style="244" customWidth="1"/>
    <col min="8208" max="8208" width="8.5703125" style="244" customWidth="1"/>
    <col min="8209" max="8209" width="9.5703125" style="244" customWidth="1"/>
    <col min="8210" max="8210" width="8.7109375" style="244" customWidth="1"/>
    <col min="8211" max="8211" width="9.28515625" style="244" customWidth="1"/>
    <col min="8212" max="8212" width="8.7109375" style="244" customWidth="1"/>
    <col min="8213" max="8213" width="9.28515625" style="244" customWidth="1"/>
    <col min="8214" max="8214" width="8.7109375" style="244" customWidth="1"/>
    <col min="8215" max="8215" width="9.28515625" style="244" customWidth="1"/>
    <col min="8216" max="8452" width="9.140625" style="244"/>
    <col min="8453" max="8453" width="1.42578125" style="244" customWidth="1"/>
    <col min="8454" max="8454" width="3.42578125" style="244" customWidth="1"/>
    <col min="8455" max="8455" width="11.42578125" style="244" customWidth="1"/>
    <col min="8456" max="8456" width="7.28515625" style="244" customWidth="1"/>
    <col min="8457" max="8457" width="14" style="244" customWidth="1"/>
    <col min="8458" max="8458" width="6.42578125" style="244" customWidth="1"/>
    <col min="8459" max="8459" width="4.5703125" style="244" customWidth="1"/>
    <col min="8460" max="8460" width="6.140625" style="244" customWidth="1"/>
    <col min="8461" max="8462" width="4.7109375" style="244" customWidth="1"/>
    <col min="8463" max="8463" width="5.140625" style="244" customWidth="1"/>
    <col min="8464" max="8464" width="8.5703125" style="244" customWidth="1"/>
    <col min="8465" max="8465" width="9.5703125" style="244" customWidth="1"/>
    <col min="8466" max="8466" width="8.7109375" style="244" customWidth="1"/>
    <col min="8467" max="8467" width="9.28515625" style="244" customWidth="1"/>
    <col min="8468" max="8468" width="8.7109375" style="244" customWidth="1"/>
    <col min="8469" max="8469" width="9.28515625" style="244" customWidth="1"/>
    <col min="8470" max="8470" width="8.7109375" style="244" customWidth="1"/>
    <col min="8471" max="8471" width="9.28515625" style="244" customWidth="1"/>
    <col min="8472" max="8708" width="9.140625" style="244"/>
    <col min="8709" max="8709" width="1.42578125" style="244" customWidth="1"/>
    <col min="8710" max="8710" width="3.42578125" style="244" customWidth="1"/>
    <col min="8711" max="8711" width="11.42578125" style="244" customWidth="1"/>
    <col min="8712" max="8712" width="7.28515625" style="244" customWidth="1"/>
    <col min="8713" max="8713" width="14" style="244" customWidth="1"/>
    <col min="8714" max="8714" width="6.42578125" style="244" customWidth="1"/>
    <col min="8715" max="8715" width="4.5703125" style="244" customWidth="1"/>
    <col min="8716" max="8716" width="6.140625" style="244" customWidth="1"/>
    <col min="8717" max="8718" width="4.7109375" style="244" customWidth="1"/>
    <col min="8719" max="8719" width="5.140625" style="244" customWidth="1"/>
    <col min="8720" max="8720" width="8.5703125" style="244" customWidth="1"/>
    <col min="8721" max="8721" width="9.5703125" style="244" customWidth="1"/>
    <col min="8722" max="8722" width="8.7109375" style="244" customWidth="1"/>
    <col min="8723" max="8723" width="9.28515625" style="244" customWidth="1"/>
    <col min="8724" max="8724" width="8.7109375" style="244" customWidth="1"/>
    <col min="8725" max="8725" width="9.28515625" style="244" customWidth="1"/>
    <col min="8726" max="8726" width="8.7109375" style="244" customWidth="1"/>
    <col min="8727" max="8727" width="9.28515625" style="244" customWidth="1"/>
    <col min="8728" max="8964" width="9.140625" style="244"/>
    <col min="8965" max="8965" width="1.42578125" style="244" customWidth="1"/>
    <col min="8966" max="8966" width="3.42578125" style="244" customWidth="1"/>
    <col min="8967" max="8967" width="11.42578125" style="244" customWidth="1"/>
    <col min="8968" max="8968" width="7.28515625" style="244" customWidth="1"/>
    <col min="8969" max="8969" width="14" style="244" customWidth="1"/>
    <col min="8970" max="8970" width="6.42578125" style="244" customWidth="1"/>
    <col min="8971" max="8971" width="4.5703125" style="244" customWidth="1"/>
    <col min="8972" max="8972" width="6.140625" style="244" customWidth="1"/>
    <col min="8973" max="8974" width="4.7109375" style="244" customWidth="1"/>
    <col min="8975" max="8975" width="5.140625" style="244" customWidth="1"/>
    <col min="8976" max="8976" width="8.5703125" style="244" customWidth="1"/>
    <col min="8977" max="8977" width="9.5703125" style="244" customWidth="1"/>
    <col min="8978" max="8978" width="8.7109375" style="244" customWidth="1"/>
    <col min="8979" max="8979" width="9.28515625" style="244" customWidth="1"/>
    <col min="8980" max="8980" width="8.7109375" style="244" customWidth="1"/>
    <col min="8981" max="8981" width="9.28515625" style="244" customWidth="1"/>
    <col min="8982" max="8982" width="8.7109375" style="244" customWidth="1"/>
    <col min="8983" max="8983" width="9.28515625" style="244" customWidth="1"/>
    <col min="8984" max="9220" width="9.140625" style="244"/>
    <col min="9221" max="9221" width="1.42578125" style="244" customWidth="1"/>
    <col min="9222" max="9222" width="3.42578125" style="244" customWidth="1"/>
    <col min="9223" max="9223" width="11.42578125" style="244" customWidth="1"/>
    <col min="9224" max="9224" width="7.28515625" style="244" customWidth="1"/>
    <col min="9225" max="9225" width="14" style="244" customWidth="1"/>
    <col min="9226" max="9226" width="6.42578125" style="244" customWidth="1"/>
    <col min="9227" max="9227" width="4.5703125" style="244" customWidth="1"/>
    <col min="9228" max="9228" width="6.140625" style="244" customWidth="1"/>
    <col min="9229" max="9230" width="4.7109375" style="244" customWidth="1"/>
    <col min="9231" max="9231" width="5.140625" style="244" customWidth="1"/>
    <col min="9232" max="9232" width="8.5703125" style="244" customWidth="1"/>
    <col min="9233" max="9233" width="9.5703125" style="244" customWidth="1"/>
    <col min="9234" max="9234" width="8.7109375" style="244" customWidth="1"/>
    <col min="9235" max="9235" width="9.28515625" style="244" customWidth="1"/>
    <col min="9236" max="9236" width="8.7109375" style="244" customWidth="1"/>
    <col min="9237" max="9237" width="9.28515625" style="244" customWidth="1"/>
    <col min="9238" max="9238" width="8.7109375" style="244" customWidth="1"/>
    <col min="9239" max="9239" width="9.28515625" style="244" customWidth="1"/>
    <col min="9240" max="9476" width="9.140625" style="244"/>
    <col min="9477" max="9477" width="1.42578125" style="244" customWidth="1"/>
    <col min="9478" max="9478" width="3.42578125" style="244" customWidth="1"/>
    <col min="9479" max="9479" width="11.42578125" style="244" customWidth="1"/>
    <col min="9480" max="9480" width="7.28515625" style="244" customWidth="1"/>
    <col min="9481" max="9481" width="14" style="244" customWidth="1"/>
    <col min="9482" max="9482" width="6.42578125" style="244" customWidth="1"/>
    <col min="9483" max="9483" width="4.5703125" style="244" customWidth="1"/>
    <col min="9484" max="9484" width="6.140625" style="244" customWidth="1"/>
    <col min="9485" max="9486" width="4.7109375" style="244" customWidth="1"/>
    <col min="9487" max="9487" width="5.140625" style="244" customWidth="1"/>
    <col min="9488" max="9488" width="8.5703125" style="244" customWidth="1"/>
    <col min="9489" max="9489" width="9.5703125" style="244" customWidth="1"/>
    <col min="9490" max="9490" width="8.7109375" style="244" customWidth="1"/>
    <col min="9491" max="9491" width="9.28515625" style="244" customWidth="1"/>
    <col min="9492" max="9492" width="8.7109375" style="244" customWidth="1"/>
    <col min="9493" max="9493" width="9.28515625" style="244" customWidth="1"/>
    <col min="9494" max="9494" width="8.7109375" style="244" customWidth="1"/>
    <col min="9495" max="9495" width="9.28515625" style="244" customWidth="1"/>
    <col min="9496" max="9732" width="9.140625" style="244"/>
    <col min="9733" max="9733" width="1.42578125" style="244" customWidth="1"/>
    <col min="9734" max="9734" width="3.42578125" style="244" customWidth="1"/>
    <col min="9735" max="9735" width="11.42578125" style="244" customWidth="1"/>
    <col min="9736" max="9736" width="7.28515625" style="244" customWidth="1"/>
    <col min="9737" max="9737" width="14" style="244" customWidth="1"/>
    <col min="9738" max="9738" width="6.42578125" style="244" customWidth="1"/>
    <col min="9739" max="9739" width="4.5703125" style="244" customWidth="1"/>
    <col min="9740" max="9740" width="6.140625" style="244" customWidth="1"/>
    <col min="9741" max="9742" width="4.7109375" style="244" customWidth="1"/>
    <col min="9743" max="9743" width="5.140625" style="244" customWidth="1"/>
    <col min="9744" max="9744" width="8.5703125" style="244" customWidth="1"/>
    <col min="9745" max="9745" width="9.5703125" style="244" customWidth="1"/>
    <col min="9746" max="9746" width="8.7109375" style="244" customWidth="1"/>
    <col min="9747" max="9747" width="9.28515625" style="244" customWidth="1"/>
    <col min="9748" max="9748" width="8.7109375" style="244" customWidth="1"/>
    <col min="9749" max="9749" width="9.28515625" style="244" customWidth="1"/>
    <col min="9750" max="9750" width="8.7109375" style="244" customWidth="1"/>
    <col min="9751" max="9751" width="9.28515625" style="244" customWidth="1"/>
    <col min="9752" max="9988" width="9.140625" style="244"/>
    <col min="9989" max="9989" width="1.42578125" style="244" customWidth="1"/>
    <col min="9990" max="9990" width="3.42578125" style="244" customWidth="1"/>
    <col min="9991" max="9991" width="11.42578125" style="244" customWidth="1"/>
    <col min="9992" max="9992" width="7.28515625" style="244" customWidth="1"/>
    <col min="9993" max="9993" width="14" style="244" customWidth="1"/>
    <col min="9994" max="9994" width="6.42578125" style="244" customWidth="1"/>
    <col min="9995" max="9995" width="4.5703125" style="244" customWidth="1"/>
    <col min="9996" max="9996" width="6.140625" style="244" customWidth="1"/>
    <col min="9997" max="9998" width="4.7109375" style="244" customWidth="1"/>
    <col min="9999" max="9999" width="5.140625" style="244" customWidth="1"/>
    <col min="10000" max="10000" width="8.5703125" style="244" customWidth="1"/>
    <col min="10001" max="10001" width="9.5703125" style="244" customWidth="1"/>
    <col min="10002" max="10002" width="8.7109375" style="244" customWidth="1"/>
    <col min="10003" max="10003" width="9.28515625" style="244" customWidth="1"/>
    <col min="10004" max="10004" width="8.7109375" style="244" customWidth="1"/>
    <col min="10005" max="10005" width="9.28515625" style="244" customWidth="1"/>
    <col min="10006" max="10006" width="8.7109375" style="244" customWidth="1"/>
    <col min="10007" max="10007" width="9.28515625" style="244" customWidth="1"/>
    <col min="10008" max="10244" width="9.140625" style="244"/>
    <col min="10245" max="10245" width="1.42578125" style="244" customWidth="1"/>
    <col min="10246" max="10246" width="3.42578125" style="244" customWidth="1"/>
    <col min="10247" max="10247" width="11.42578125" style="244" customWidth="1"/>
    <col min="10248" max="10248" width="7.28515625" style="244" customWidth="1"/>
    <col min="10249" max="10249" width="14" style="244" customWidth="1"/>
    <col min="10250" max="10250" width="6.42578125" style="244" customWidth="1"/>
    <col min="10251" max="10251" width="4.5703125" style="244" customWidth="1"/>
    <col min="10252" max="10252" width="6.140625" style="244" customWidth="1"/>
    <col min="10253" max="10254" width="4.7109375" style="244" customWidth="1"/>
    <col min="10255" max="10255" width="5.140625" style="244" customWidth="1"/>
    <col min="10256" max="10256" width="8.5703125" style="244" customWidth="1"/>
    <col min="10257" max="10257" width="9.5703125" style="244" customWidth="1"/>
    <col min="10258" max="10258" width="8.7109375" style="244" customWidth="1"/>
    <col min="10259" max="10259" width="9.28515625" style="244" customWidth="1"/>
    <col min="10260" max="10260" width="8.7109375" style="244" customWidth="1"/>
    <col min="10261" max="10261" width="9.28515625" style="244" customWidth="1"/>
    <col min="10262" max="10262" width="8.7109375" style="244" customWidth="1"/>
    <col min="10263" max="10263" width="9.28515625" style="244" customWidth="1"/>
    <col min="10264" max="10500" width="9.140625" style="244"/>
    <col min="10501" max="10501" width="1.42578125" style="244" customWidth="1"/>
    <col min="10502" max="10502" width="3.42578125" style="244" customWidth="1"/>
    <col min="10503" max="10503" width="11.42578125" style="244" customWidth="1"/>
    <col min="10504" max="10504" width="7.28515625" style="244" customWidth="1"/>
    <col min="10505" max="10505" width="14" style="244" customWidth="1"/>
    <col min="10506" max="10506" width="6.42578125" style="244" customWidth="1"/>
    <col min="10507" max="10507" width="4.5703125" style="244" customWidth="1"/>
    <col min="10508" max="10508" width="6.140625" style="244" customWidth="1"/>
    <col min="10509" max="10510" width="4.7109375" style="244" customWidth="1"/>
    <col min="10511" max="10511" width="5.140625" style="244" customWidth="1"/>
    <col min="10512" max="10512" width="8.5703125" style="244" customWidth="1"/>
    <col min="10513" max="10513" width="9.5703125" style="244" customWidth="1"/>
    <col min="10514" max="10514" width="8.7109375" style="244" customWidth="1"/>
    <col min="10515" max="10515" width="9.28515625" style="244" customWidth="1"/>
    <col min="10516" max="10516" width="8.7109375" style="244" customWidth="1"/>
    <col min="10517" max="10517" width="9.28515625" style="244" customWidth="1"/>
    <col min="10518" max="10518" width="8.7109375" style="244" customWidth="1"/>
    <col min="10519" max="10519" width="9.28515625" style="244" customWidth="1"/>
    <col min="10520" max="10756" width="9.140625" style="244"/>
    <col min="10757" max="10757" width="1.42578125" style="244" customWidth="1"/>
    <col min="10758" max="10758" width="3.42578125" style="244" customWidth="1"/>
    <col min="10759" max="10759" width="11.42578125" style="244" customWidth="1"/>
    <col min="10760" max="10760" width="7.28515625" style="244" customWidth="1"/>
    <col min="10761" max="10761" width="14" style="244" customWidth="1"/>
    <col min="10762" max="10762" width="6.42578125" style="244" customWidth="1"/>
    <col min="10763" max="10763" width="4.5703125" style="244" customWidth="1"/>
    <col min="10764" max="10764" width="6.140625" style="244" customWidth="1"/>
    <col min="10765" max="10766" width="4.7109375" style="244" customWidth="1"/>
    <col min="10767" max="10767" width="5.140625" style="244" customWidth="1"/>
    <col min="10768" max="10768" width="8.5703125" style="244" customWidth="1"/>
    <col min="10769" max="10769" width="9.5703125" style="244" customWidth="1"/>
    <col min="10770" max="10770" width="8.7109375" style="244" customWidth="1"/>
    <col min="10771" max="10771" width="9.28515625" style="244" customWidth="1"/>
    <col min="10772" max="10772" width="8.7109375" style="244" customWidth="1"/>
    <col min="10773" max="10773" width="9.28515625" style="244" customWidth="1"/>
    <col min="10774" max="10774" width="8.7109375" style="244" customWidth="1"/>
    <col min="10775" max="10775" width="9.28515625" style="244" customWidth="1"/>
    <col min="10776" max="11012" width="9.140625" style="244"/>
    <col min="11013" max="11013" width="1.42578125" style="244" customWidth="1"/>
    <col min="11014" max="11014" width="3.42578125" style="244" customWidth="1"/>
    <col min="11015" max="11015" width="11.42578125" style="244" customWidth="1"/>
    <col min="11016" max="11016" width="7.28515625" style="244" customWidth="1"/>
    <col min="11017" max="11017" width="14" style="244" customWidth="1"/>
    <col min="11018" max="11018" width="6.42578125" style="244" customWidth="1"/>
    <col min="11019" max="11019" width="4.5703125" style="244" customWidth="1"/>
    <col min="11020" max="11020" width="6.140625" style="244" customWidth="1"/>
    <col min="11021" max="11022" width="4.7109375" style="244" customWidth="1"/>
    <col min="11023" max="11023" width="5.140625" style="244" customWidth="1"/>
    <col min="11024" max="11024" width="8.5703125" style="244" customWidth="1"/>
    <col min="11025" max="11025" width="9.5703125" style="244" customWidth="1"/>
    <col min="11026" max="11026" width="8.7109375" style="244" customWidth="1"/>
    <col min="11027" max="11027" width="9.28515625" style="244" customWidth="1"/>
    <col min="11028" max="11028" width="8.7109375" style="244" customWidth="1"/>
    <col min="11029" max="11029" width="9.28515625" style="244" customWidth="1"/>
    <col min="11030" max="11030" width="8.7109375" style="244" customWidth="1"/>
    <col min="11031" max="11031" width="9.28515625" style="244" customWidth="1"/>
    <col min="11032" max="11268" width="9.140625" style="244"/>
    <col min="11269" max="11269" width="1.42578125" style="244" customWidth="1"/>
    <col min="11270" max="11270" width="3.42578125" style="244" customWidth="1"/>
    <col min="11271" max="11271" width="11.42578125" style="244" customWidth="1"/>
    <col min="11272" max="11272" width="7.28515625" style="244" customWidth="1"/>
    <col min="11273" max="11273" width="14" style="244" customWidth="1"/>
    <col min="11274" max="11274" width="6.42578125" style="244" customWidth="1"/>
    <col min="11275" max="11275" width="4.5703125" style="244" customWidth="1"/>
    <col min="11276" max="11276" width="6.140625" style="244" customWidth="1"/>
    <col min="11277" max="11278" width="4.7109375" style="244" customWidth="1"/>
    <col min="11279" max="11279" width="5.140625" style="244" customWidth="1"/>
    <col min="11280" max="11280" width="8.5703125" style="244" customWidth="1"/>
    <col min="11281" max="11281" width="9.5703125" style="244" customWidth="1"/>
    <col min="11282" max="11282" width="8.7109375" style="244" customWidth="1"/>
    <col min="11283" max="11283" width="9.28515625" style="244" customWidth="1"/>
    <col min="11284" max="11284" width="8.7109375" style="244" customWidth="1"/>
    <col min="11285" max="11285" width="9.28515625" style="244" customWidth="1"/>
    <col min="11286" max="11286" width="8.7109375" style="244" customWidth="1"/>
    <col min="11287" max="11287" width="9.28515625" style="244" customWidth="1"/>
    <col min="11288" max="11524" width="9.140625" style="244"/>
    <col min="11525" max="11525" width="1.42578125" style="244" customWidth="1"/>
    <col min="11526" max="11526" width="3.42578125" style="244" customWidth="1"/>
    <col min="11527" max="11527" width="11.42578125" style="244" customWidth="1"/>
    <col min="11528" max="11528" width="7.28515625" style="244" customWidth="1"/>
    <col min="11529" max="11529" width="14" style="244" customWidth="1"/>
    <col min="11530" max="11530" width="6.42578125" style="244" customWidth="1"/>
    <col min="11531" max="11531" width="4.5703125" style="244" customWidth="1"/>
    <col min="11532" max="11532" width="6.140625" style="244" customWidth="1"/>
    <col min="11533" max="11534" width="4.7109375" style="244" customWidth="1"/>
    <col min="11535" max="11535" width="5.140625" style="244" customWidth="1"/>
    <col min="11536" max="11536" width="8.5703125" style="244" customWidth="1"/>
    <col min="11537" max="11537" width="9.5703125" style="244" customWidth="1"/>
    <col min="11538" max="11538" width="8.7109375" style="244" customWidth="1"/>
    <col min="11539" max="11539" width="9.28515625" style="244" customWidth="1"/>
    <col min="11540" max="11540" width="8.7109375" style="244" customWidth="1"/>
    <col min="11541" max="11541" width="9.28515625" style="244" customWidth="1"/>
    <col min="11542" max="11542" width="8.7109375" style="244" customWidth="1"/>
    <col min="11543" max="11543" width="9.28515625" style="244" customWidth="1"/>
    <col min="11544" max="11780" width="9.140625" style="244"/>
    <col min="11781" max="11781" width="1.42578125" style="244" customWidth="1"/>
    <col min="11782" max="11782" width="3.42578125" style="244" customWidth="1"/>
    <col min="11783" max="11783" width="11.42578125" style="244" customWidth="1"/>
    <col min="11784" max="11784" width="7.28515625" style="244" customWidth="1"/>
    <col min="11785" max="11785" width="14" style="244" customWidth="1"/>
    <col min="11786" max="11786" width="6.42578125" style="244" customWidth="1"/>
    <col min="11787" max="11787" width="4.5703125" style="244" customWidth="1"/>
    <col min="11788" max="11788" width="6.140625" style="244" customWidth="1"/>
    <col min="11789" max="11790" width="4.7109375" style="244" customWidth="1"/>
    <col min="11791" max="11791" width="5.140625" style="244" customWidth="1"/>
    <col min="11792" max="11792" width="8.5703125" style="244" customWidth="1"/>
    <col min="11793" max="11793" width="9.5703125" style="244" customWidth="1"/>
    <col min="11794" max="11794" width="8.7109375" style="244" customWidth="1"/>
    <col min="11795" max="11795" width="9.28515625" style="244" customWidth="1"/>
    <col min="11796" max="11796" width="8.7109375" style="244" customWidth="1"/>
    <col min="11797" max="11797" width="9.28515625" style="244" customWidth="1"/>
    <col min="11798" max="11798" width="8.7109375" style="244" customWidth="1"/>
    <col min="11799" max="11799" width="9.28515625" style="244" customWidth="1"/>
    <col min="11800" max="12036" width="9.140625" style="244"/>
    <col min="12037" max="12037" width="1.42578125" style="244" customWidth="1"/>
    <col min="12038" max="12038" width="3.42578125" style="244" customWidth="1"/>
    <col min="12039" max="12039" width="11.42578125" style="244" customWidth="1"/>
    <col min="12040" max="12040" width="7.28515625" style="244" customWidth="1"/>
    <col min="12041" max="12041" width="14" style="244" customWidth="1"/>
    <col min="12042" max="12042" width="6.42578125" style="244" customWidth="1"/>
    <col min="12043" max="12043" width="4.5703125" style="244" customWidth="1"/>
    <col min="12044" max="12044" width="6.140625" style="244" customWidth="1"/>
    <col min="12045" max="12046" width="4.7109375" style="244" customWidth="1"/>
    <col min="12047" max="12047" width="5.140625" style="244" customWidth="1"/>
    <col min="12048" max="12048" width="8.5703125" style="244" customWidth="1"/>
    <col min="12049" max="12049" width="9.5703125" style="244" customWidth="1"/>
    <col min="12050" max="12050" width="8.7109375" style="244" customWidth="1"/>
    <col min="12051" max="12051" width="9.28515625" style="244" customWidth="1"/>
    <col min="12052" max="12052" width="8.7109375" style="244" customWidth="1"/>
    <col min="12053" max="12053" width="9.28515625" style="244" customWidth="1"/>
    <col min="12054" max="12054" width="8.7109375" style="244" customWidth="1"/>
    <col min="12055" max="12055" width="9.28515625" style="244" customWidth="1"/>
    <col min="12056" max="12292" width="9.140625" style="244"/>
    <col min="12293" max="12293" width="1.42578125" style="244" customWidth="1"/>
    <col min="12294" max="12294" width="3.42578125" style="244" customWidth="1"/>
    <col min="12295" max="12295" width="11.42578125" style="244" customWidth="1"/>
    <col min="12296" max="12296" width="7.28515625" style="244" customWidth="1"/>
    <col min="12297" max="12297" width="14" style="244" customWidth="1"/>
    <col min="12298" max="12298" width="6.42578125" style="244" customWidth="1"/>
    <col min="12299" max="12299" width="4.5703125" style="244" customWidth="1"/>
    <col min="12300" max="12300" width="6.140625" style="244" customWidth="1"/>
    <col min="12301" max="12302" width="4.7109375" style="244" customWidth="1"/>
    <col min="12303" max="12303" width="5.140625" style="244" customWidth="1"/>
    <col min="12304" max="12304" width="8.5703125" style="244" customWidth="1"/>
    <col min="12305" max="12305" width="9.5703125" style="244" customWidth="1"/>
    <col min="12306" max="12306" width="8.7109375" style="244" customWidth="1"/>
    <col min="12307" max="12307" width="9.28515625" style="244" customWidth="1"/>
    <col min="12308" max="12308" width="8.7109375" style="244" customWidth="1"/>
    <col min="12309" max="12309" width="9.28515625" style="244" customWidth="1"/>
    <col min="12310" max="12310" width="8.7109375" style="244" customWidth="1"/>
    <col min="12311" max="12311" width="9.28515625" style="244" customWidth="1"/>
    <col min="12312" max="12548" width="9.140625" style="244"/>
    <col min="12549" max="12549" width="1.42578125" style="244" customWidth="1"/>
    <col min="12550" max="12550" width="3.42578125" style="244" customWidth="1"/>
    <col min="12551" max="12551" width="11.42578125" style="244" customWidth="1"/>
    <col min="12552" max="12552" width="7.28515625" style="244" customWidth="1"/>
    <col min="12553" max="12553" width="14" style="244" customWidth="1"/>
    <col min="12554" max="12554" width="6.42578125" style="244" customWidth="1"/>
    <col min="12555" max="12555" width="4.5703125" style="244" customWidth="1"/>
    <col min="12556" max="12556" width="6.140625" style="244" customWidth="1"/>
    <col min="12557" max="12558" width="4.7109375" style="244" customWidth="1"/>
    <col min="12559" max="12559" width="5.140625" style="244" customWidth="1"/>
    <col min="12560" max="12560" width="8.5703125" style="244" customWidth="1"/>
    <col min="12561" max="12561" width="9.5703125" style="244" customWidth="1"/>
    <col min="12562" max="12562" width="8.7109375" style="244" customWidth="1"/>
    <col min="12563" max="12563" width="9.28515625" style="244" customWidth="1"/>
    <col min="12564" max="12564" width="8.7109375" style="244" customWidth="1"/>
    <col min="12565" max="12565" width="9.28515625" style="244" customWidth="1"/>
    <col min="12566" max="12566" width="8.7109375" style="244" customWidth="1"/>
    <col min="12567" max="12567" width="9.28515625" style="244" customWidth="1"/>
    <col min="12568" max="12804" width="9.140625" style="244"/>
    <col min="12805" max="12805" width="1.42578125" style="244" customWidth="1"/>
    <col min="12806" max="12806" width="3.42578125" style="244" customWidth="1"/>
    <col min="12807" max="12807" width="11.42578125" style="244" customWidth="1"/>
    <col min="12808" max="12808" width="7.28515625" style="244" customWidth="1"/>
    <col min="12809" max="12809" width="14" style="244" customWidth="1"/>
    <col min="12810" max="12810" width="6.42578125" style="244" customWidth="1"/>
    <col min="12811" max="12811" width="4.5703125" style="244" customWidth="1"/>
    <col min="12812" max="12812" width="6.140625" style="244" customWidth="1"/>
    <col min="12813" max="12814" width="4.7109375" style="244" customWidth="1"/>
    <col min="12815" max="12815" width="5.140625" style="244" customWidth="1"/>
    <col min="12816" max="12816" width="8.5703125" style="244" customWidth="1"/>
    <col min="12817" max="12817" width="9.5703125" style="244" customWidth="1"/>
    <col min="12818" max="12818" width="8.7109375" style="244" customWidth="1"/>
    <col min="12819" max="12819" width="9.28515625" style="244" customWidth="1"/>
    <col min="12820" max="12820" width="8.7109375" style="244" customWidth="1"/>
    <col min="12821" max="12821" width="9.28515625" style="244" customWidth="1"/>
    <col min="12822" max="12822" width="8.7109375" style="244" customWidth="1"/>
    <col min="12823" max="12823" width="9.28515625" style="244" customWidth="1"/>
    <col min="12824" max="13060" width="9.140625" style="244"/>
    <col min="13061" max="13061" width="1.42578125" style="244" customWidth="1"/>
    <col min="13062" max="13062" width="3.42578125" style="244" customWidth="1"/>
    <col min="13063" max="13063" width="11.42578125" style="244" customWidth="1"/>
    <col min="13064" max="13064" width="7.28515625" style="244" customWidth="1"/>
    <col min="13065" max="13065" width="14" style="244" customWidth="1"/>
    <col min="13066" max="13066" width="6.42578125" style="244" customWidth="1"/>
    <col min="13067" max="13067" width="4.5703125" style="244" customWidth="1"/>
    <col min="13068" max="13068" width="6.140625" style="244" customWidth="1"/>
    <col min="13069" max="13070" width="4.7109375" style="244" customWidth="1"/>
    <col min="13071" max="13071" width="5.140625" style="244" customWidth="1"/>
    <col min="13072" max="13072" width="8.5703125" style="244" customWidth="1"/>
    <col min="13073" max="13073" width="9.5703125" style="244" customWidth="1"/>
    <col min="13074" max="13074" width="8.7109375" style="244" customWidth="1"/>
    <col min="13075" max="13075" width="9.28515625" style="244" customWidth="1"/>
    <col min="13076" max="13076" width="8.7109375" style="244" customWidth="1"/>
    <col min="13077" max="13077" width="9.28515625" style="244" customWidth="1"/>
    <col min="13078" max="13078" width="8.7109375" style="244" customWidth="1"/>
    <col min="13079" max="13079" width="9.28515625" style="244" customWidth="1"/>
    <col min="13080" max="13316" width="9.140625" style="244"/>
    <col min="13317" max="13317" width="1.42578125" style="244" customWidth="1"/>
    <col min="13318" max="13318" width="3.42578125" style="244" customWidth="1"/>
    <col min="13319" max="13319" width="11.42578125" style="244" customWidth="1"/>
    <col min="13320" max="13320" width="7.28515625" style="244" customWidth="1"/>
    <col min="13321" max="13321" width="14" style="244" customWidth="1"/>
    <col min="13322" max="13322" width="6.42578125" style="244" customWidth="1"/>
    <col min="13323" max="13323" width="4.5703125" style="244" customWidth="1"/>
    <col min="13324" max="13324" width="6.140625" style="244" customWidth="1"/>
    <col min="13325" max="13326" width="4.7109375" style="244" customWidth="1"/>
    <col min="13327" max="13327" width="5.140625" style="244" customWidth="1"/>
    <col min="13328" max="13328" width="8.5703125" style="244" customWidth="1"/>
    <col min="13329" max="13329" width="9.5703125" style="244" customWidth="1"/>
    <col min="13330" max="13330" width="8.7109375" style="244" customWidth="1"/>
    <col min="13331" max="13331" width="9.28515625" style="244" customWidth="1"/>
    <col min="13332" max="13332" width="8.7109375" style="244" customWidth="1"/>
    <col min="13333" max="13333" width="9.28515625" style="244" customWidth="1"/>
    <col min="13334" max="13334" width="8.7109375" style="244" customWidth="1"/>
    <col min="13335" max="13335" width="9.28515625" style="244" customWidth="1"/>
    <col min="13336" max="13572" width="9.140625" style="244"/>
    <col min="13573" max="13573" width="1.42578125" style="244" customWidth="1"/>
    <col min="13574" max="13574" width="3.42578125" style="244" customWidth="1"/>
    <col min="13575" max="13575" width="11.42578125" style="244" customWidth="1"/>
    <col min="13576" max="13576" width="7.28515625" style="244" customWidth="1"/>
    <col min="13577" max="13577" width="14" style="244" customWidth="1"/>
    <col min="13578" max="13578" width="6.42578125" style="244" customWidth="1"/>
    <col min="13579" max="13579" width="4.5703125" style="244" customWidth="1"/>
    <col min="13580" max="13580" width="6.140625" style="244" customWidth="1"/>
    <col min="13581" max="13582" width="4.7109375" style="244" customWidth="1"/>
    <col min="13583" max="13583" width="5.140625" style="244" customWidth="1"/>
    <col min="13584" max="13584" width="8.5703125" style="244" customWidth="1"/>
    <col min="13585" max="13585" width="9.5703125" style="244" customWidth="1"/>
    <col min="13586" max="13586" width="8.7109375" style="244" customWidth="1"/>
    <col min="13587" max="13587" width="9.28515625" style="244" customWidth="1"/>
    <col min="13588" max="13588" width="8.7109375" style="244" customWidth="1"/>
    <col min="13589" max="13589" width="9.28515625" style="244" customWidth="1"/>
    <col min="13590" max="13590" width="8.7109375" style="244" customWidth="1"/>
    <col min="13591" max="13591" width="9.28515625" style="244" customWidth="1"/>
    <col min="13592" max="13828" width="9.140625" style="244"/>
    <col min="13829" max="13829" width="1.42578125" style="244" customWidth="1"/>
    <col min="13830" max="13830" width="3.42578125" style="244" customWidth="1"/>
    <col min="13831" max="13831" width="11.42578125" style="244" customWidth="1"/>
    <col min="13832" max="13832" width="7.28515625" style="244" customWidth="1"/>
    <col min="13833" max="13833" width="14" style="244" customWidth="1"/>
    <col min="13834" max="13834" width="6.42578125" style="244" customWidth="1"/>
    <col min="13835" max="13835" width="4.5703125" style="244" customWidth="1"/>
    <col min="13836" max="13836" width="6.140625" style="244" customWidth="1"/>
    <col min="13837" max="13838" width="4.7109375" style="244" customWidth="1"/>
    <col min="13839" max="13839" width="5.140625" style="244" customWidth="1"/>
    <col min="13840" max="13840" width="8.5703125" style="244" customWidth="1"/>
    <col min="13841" max="13841" width="9.5703125" style="244" customWidth="1"/>
    <col min="13842" max="13842" width="8.7109375" style="244" customWidth="1"/>
    <col min="13843" max="13843" width="9.28515625" style="244" customWidth="1"/>
    <col min="13844" max="13844" width="8.7109375" style="244" customWidth="1"/>
    <col min="13845" max="13845" width="9.28515625" style="244" customWidth="1"/>
    <col min="13846" max="13846" width="8.7109375" style="244" customWidth="1"/>
    <col min="13847" max="13847" width="9.28515625" style="244" customWidth="1"/>
    <col min="13848" max="14084" width="9.140625" style="244"/>
    <col min="14085" max="14085" width="1.42578125" style="244" customWidth="1"/>
    <col min="14086" max="14086" width="3.42578125" style="244" customWidth="1"/>
    <col min="14087" max="14087" width="11.42578125" style="244" customWidth="1"/>
    <col min="14088" max="14088" width="7.28515625" style="244" customWidth="1"/>
    <col min="14089" max="14089" width="14" style="244" customWidth="1"/>
    <col min="14090" max="14090" width="6.42578125" style="244" customWidth="1"/>
    <col min="14091" max="14091" width="4.5703125" style="244" customWidth="1"/>
    <col min="14092" max="14092" width="6.140625" style="244" customWidth="1"/>
    <col min="14093" max="14094" width="4.7109375" style="244" customWidth="1"/>
    <col min="14095" max="14095" width="5.140625" style="244" customWidth="1"/>
    <col min="14096" max="14096" width="8.5703125" style="244" customWidth="1"/>
    <col min="14097" max="14097" width="9.5703125" style="244" customWidth="1"/>
    <col min="14098" max="14098" width="8.7109375" style="244" customWidth="1"/>
    <col min="14099" max="14099" width="9.28515625" style="244" customWidth="1"/>
    <col min="14100" max="14100" width="8.7109375" style="244" customWidth="1"/>
    <col min="14101" max="14101" width="9.28515625" style="244" customWidth="1"/>
    <col min="14102" max="14102" width="8.7109375" style="244" customWidth="1"/>
    <col min="14103" max="14103" width="9.28515625" style="244" customWidth="1"/>
    <col min="14104" max="14340" width="9.140625" style="244"/>
    <col min="14341" max="14341" width="1.42578125" style="244" customWidth="1"/>
    <col min="14342" max="14342" width="3.42578125" style="244" customWidth="1"/>
    <col min="14343" max="14343" width="11.42578125" style="244" customWidth="1"/>
    <col min="14344" max="14344" width="7.28515625" style="244" customWidth="1"/>
    <col min="14345" max="14345" width="14" style="244" customWidth="1"/>
    <col min="14346" max="14346" width="6.42578125" style="244" customWidth="1"/>
    <col min="14347" max="14347" width="4.5703125" style="244" customWidth="1"/>
    <col min="14348" max="14348" width="6.140625" style="244" customWidth="1"/>
    <col min="14349" max="14350" width="4.7109375" style="244" customWidth="1"/>
    <col min="14351" max="14351" width="5.140625" style="244" customWidth="1"/>
    <col min="14352" max="14352" width="8.5703125" style="244" customWidth="1"/>
    <col min="14353" max="14353" width="9.5703125" style="244" customWidth="1"/>
    <col min="14354" max="14354" width="8.7109375" style="244" customWidth="1"/>
    <col min="14355" max="14355" width="9.28515625" style="244" customWidth="1"/>
    <col min="14356" max="14356" width="8.7109375" style="244" customWidth="1"/>
    <col min="14357" max="14357" width="9.28515625" style="244" customWidth="1"/>
    <col min="14358" max="14358" width="8.7109375" style="244" customWidth="1"/>
    <col min="14359" max="14359" width="9.28515625" style="244" customWidth="1"/>
    <col min="14360" max="14596" width="9.140625" style="244"/>
    <col min="14597" max="14597" width="1.42578125" style="244" customWidth="1"/>
    <col min="14598" max="14598" width="3.42578125" style="244" customWidth="1"/>
    <col min="14599" max="14599" width="11.42578125" style="244" customWidth="1"/>
    <col min="14600" max="14600" width="7.28515625" style="244" customWidth="1"/>
    <col min="14601" max="14601" width="14" style="244" customWidth="1"/>
    <col min="14602" max="14602" width="6.42578125" style="244" customWidth="1"/>
    <col min="14603" max="14603" width="4.5703125" style="244" customWidth="1"/>
    <col min="14604" max="14604" width="6.140625" style="244" customWidth="1"/>
    <col min="14605" max="14606" width="4.7109375" style="244" customWidth="1"/>
    <col min="14607" max="14607" width="5.140625" style="244" customWidth="1"/>
    <col min="14608" max="14608" width="8.5703125" style="244" customWidth="1"/>
    <col min="14609" max="14609" width="9.5703125" style="244" customWidth="1"/>
    <col min="14610" max="14610" width="8.7109375" style="244" customWidth="1"/>
    <col min="14611" max="14611" width="9.28515625" style="244" customWidth="1"/>
    <col min="14612" max="14612" width="8.7109375" style="244" customWidth="1"/>
    <col min="14613" max="14613" width="9.28515625" style="244" customWidth="1"/>
    <col min="14614" max="14614" width="8.7109375" style="244" customWidth="1"/>
    <col min="14615" max="14615" width="9.28515625" style="244" customWidth="1"/>
    <col min="14616" max="14852" width="9.140625" style="244"/>
    <col min="14853" max="14853" width="1.42578125" style="244" customWidth="1"/>
    <col min="14854" max="14854" width="3.42578125" style="244" customWidth="1"/>
    <col min="14855" max="14855" width="11.42578125" style="244" customWidth="1"/>
    <col min="14856" max="14856" width="7.28515625" style="244" customWidth="1"/>
    <col min="14857" max="14857" width="14" style="244" customWidth="1"/>
    <col min="14858" max="14858" width="6.42578125" style="244" customWidth="1"/>
    <col min="14859" max="14859" width="4.5703125" style="244" customWidth="1"/>
    <col min="14860" max="14860" width="6.140625" style="244" customWidth="1"/>
    <col min="14861" max="14862" width="4.7109375" style="244" customWidth="1"/>
    <col min="14863" max="14863" width="5.140625" style="244" customWidth="1"/>
    <col min="14864" max="14864" width="8.5703125" style="244" customWidth="1"/>
    <col min="14865" max="14865" width="9.5703125" style="244" customWidth="1"/>
    <col min="14866" max="14866" width="8.7109375" style="244" customWidth="1"/>
    <col min="14867" max="14867" width="9.28515625" style="244" customWidth="1"/>
    <col min="14868" max="14868" width="8.7109375" style="244" customWidth="1"/>
    <col min="14869" max="14869" width="9.28515625" style="244" customWidth="1"/>
    <col min="14870" max="14870" width="8.7109375" style="244" customWidth="1"/>
    <col min="14871" max="14871" width="9.28515625" style="244" customWidth="1"/>
    <col min="14872" max="15108" width="9.140625" style="244"/>
    <col min="15109" max="15109" width="1.42578125" style="244" customWidth="1"/>
    <col min="15110" max="15110" width="3.42578125" style="244" customWidth="1"/>
    <col min="15111" max="15111" width="11.42578125" style="244" customWidth="1"/>
    <col min="15112" max="15112" width="7.28515625" style="244" customWidth="1"/>
    <col min="15113" max="15113" width="14" style="244" customWidth="1"/>
    <col min="15114" max="15114" width="6.42578125" style="244" customWidth="1"/>
    <col min="15115" max="15115" width="4.5703125" style="244" customWidth="1"/>
    <col min="15116" max="15116" width="6.140625" style="244" customWidth="1"/>
    <col min="15117" max="15118" width="4.7109375" style="244" customWidth="1"/>
    <col min="15119" max="15119" width="5.140625" style="244" customWidth="1"/>
    <col min="15120" max="15120" width="8.5703125" style="244" customWidth="1"/>
    <col min="15121" max="15121" width="9.5703125" style="244" customWidth="1"/>
    <col min="15122" max="15122" width="8.7109375" style="244" customWidth="1"/>
    <col min="15123" max="15123" width="9.28515625" style="244" customWidth="1"/>
    <col min="15124" max="15124" width="8.7109375" style="244" customWidth="1"/>
    <col min="15125" max="15125" width="9.28515625" style="244" customWidth="1"/>
    <col min="15126" max="15126" width="8.7109375" style="244" customWidth="1"/>
    <col min="15127" max="15127" width="9.28515625" style="244" customWidth="1"/>
    <col min="15128" max="15364" width="9.140625" style="244"/>
    <col min="15365" max="15365" width="1.42578125" style="244" customWidth="1"/>
    <col min="15366" max="15366" width="3.42578125" style="244" customWidth="1"/>
    <col min="15367" max="15367" width="11.42578125" style="244" customWidth="1"/>
    <col min="15368" max="15368" width="7.28515625" style="244" customWidth="1"/>
    <col min="15369" max="15369" width="14" style="244" customWidth="1"/>
    <col min="15370" max="15370" width="6.42578125" style="244" customWidth="1"/>
    <col min="15371" max="15371" width="4.5703125" style="244" customWidth="1"/>
    <col min="15372" max="15372" width="6.140625" style="244" customWidth="1"/>
    <col min="15373" max="15374" width="4.7109375" style="244" customWidth="1"/>
    <col min="15375" max="15375" width="5.140625" style="244" customWidth="1"/>
    <col min="15376" max="15376" width="8.5703125" style="244" customWidth="1"/>
    <col min="15377" max="15377" width="9.5703125" style="244" customWidth="1"/>
    <col min="15378" max="15378" width="8.7109375" style="244" customWidth="1"/>
    <col min="15379" max="15379" width="9.28515625" style="244" customWidth="1"/>
    <col min="15380" max="15380" width="8.7109375" style="244" customWidth="1"/>
    <col min="15381" max="15381" width="9.28515625" style="244" customWidth="1"/>
    <col min="15382" max="15382" width="8.7109375" style="244" customWidth="1"/>
    <col min="15383" max="15383" width="9.28515625" style="244" customWidth="1"/>
    <col min="15384" max="15620" width="9.140625" style="244"/>
    <col min="15621" max="15621" width="1.42578125" style="244" customWidth="1"/>
    <col min="15622" max="15622" width="3.42578125" style="244" customWidth="1"/>
    <col min="15623" max="15623" width="11.42578125" style="244" customWidth="1"/>
    <col min="15624" max="15624" width="7.28515625" style="244" customWidth="1"/>
    <col min="15625" max="15625" width="14" style="244" customWidth="1"/>
    <col min="15626" max="15626" width="6.42578125" style="244" customWidth="1"/>
    <col min="15627" max="15627" width="4.5703125" style="244" customWidth="1"/>
    <col min="15628" max="15628" width="6.140625" style="244" customWidth="1"/>
    <col min="15629" max="15630" width="4.7109375" style="244" customWidth="1"/>
    <col min="15631" max="15631" width="5.140625" style="244" customWidth="1"/>
    <col min="15632" max="15632" width="8.5703125" style="244" customWidth="1"/>
    <col min="15633" max="15633" width="9.5703125" style="244" customWidth="1"/>
    <col min="15634" max="15634" width="8.7109375" style="244" customWidth="1"/>
    <col min="15635" max="15635" width="9.28515625" style="244" customWidth="1"/>
    <col min="15636" max="15636" width="8.7109375" style="244" customWidth="1"/>
    <col min="15637" max="15637" width="9.28515625" style="244" customWidth="1"/>
    <col min="15638" max="15638" width="8.7109375" style="244" customWidth="1"/>
    <col min="15639" max="15639" width="9.28515625" style="244" customWidth="1"/>
    <col min="15640" max="15876" width="9.140625" style="244"/>
    <col min="15877" max="15877" width="1.42578125" style="244" customWidth="1"/>
    <col min="15878" max="15878" width="3.42578125" style="244" customWidth="1"/>
    <col min="15879" max="15879" width="11.42578125" style="244" customWidth="1"/>
    <col min="15880" max="15880" width="7.28515625" style="244" customWidth="1"/>
    <col min="15881" max="15881" width="14" style="244" customWidth="1"/>
    <col min="15882" max="15882" width="6.42578125" style="244" customWidth="1"/>
    <col min="15883" max="15883" width="4.5703125" style="244" customWidth="1"/>
    <col min="15884" max="15884" width="6.140625" style="244" customWidth="1"/>
    <col min="15885" max="15886" width="4.7109375" style="244" customWidth="1"/>
    <col min="15887" max="15887" width="5.140625" style="244" customWidth="1"/>
    <col min="15888" max="15888" width="8.5703125" style="244" customWidth="1"/>
    <col min="15889" max="15889" width="9.5703125" style="244" customWidth="1"/>
    <col min="15890" max="15890" width="8.7109375" style="244" customWidth="1"/>
    <col min="15891" max="15891" width="9.28515625" style="244" customWidth="1"/>
    <col min="15892" max="15892" width="8.7109375" style="244" customWidth="1"/>
    <col min="15893" max="15893" width="9.28515625" style="244" customWidth="1"/>
    <col min="15894" max="15894" width="8.7109375" style="244" customWidth="1"/>
    <col min="15895" max="15895" width="9.28515625" style="244" customWidth="1"/>
    <col min="15896" max="16132" width="9.140625" style="244"/>
    <col min="16133" max="16133" width="1.42578125" style="244" customWidth="1"/>
    <col min="16134" max="16134" width="3.42578125" style="244" customWidth="1"/>
    <col min="16135" max="16135" width="11.42578125" style="244" customWidth="1"/>
    <col min="16136" max="16136" width="7.28515625" style="244" customWidth="1"/>
    <col min="16137" max="16137" width="14" style="244" customWidth="1"/>
    <col min="16138" max="16138" width="6.42578125" style="244" customWidth="1"/>
    <col min="16139" max="16139" width="4.5703125" style="244" customWidth="1"/>
    <col min="16140" max="16140" width="6.140625" style="244" customWidth="1"/>
    <col min="16141" max="16142" width="4.7109375" style="244" customWidth="1"/>
    <col min="16143" max="16143" width="5.140625" style="244" customWidth="1"/>
    <col min="16144" max="16144" width="8.5703125" style="244" customWidth="1"/>
    <col min="16145" max="16145" width="9.5703125" style="244" customWidth="1"/>
    <col min="16146" max="16146" width="8.7109375" style="244" customWidth="1"/>
    <col min="16147" max="16147" width="9.28515625" style="244" customWidth="1"/>
    <col min="16148" max="16148" width="8.7109375" style="244" customWidth="1"/>
    <col min="16149" max="16149" width="9.28515625" style="244" customWidth="1"/>
    <col min="16150" max="16150" width="8.7109375" style="244" customWidth="1"/>
    <col min="16151" max="16151" width="9.28515625" style="244" customWidth="1"/>
    <col min="16152" max="16384" width="9.140625" style="244"/>
  </cols>
  <sheetData>
    <row r="1" spans="1:23" s="241" customFormat="1" ht="11.25" customHeight="1" x14ac:dyDescent="0.2"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3" t="s">
        <v>687</v>
      </c>
    </row>
    <row r="2" spans="1:23" s="241" customFormat="1" ht="9.75" customHeight="1" x14ac:dyDescent="0.2"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3"/>
      <c r="W2" s="243" t="s">
        <v>142</v>
      </c>
    </row>
    <row r="3" spans="1:23" s="241" customFormat="1" ht="9.75" customHeight="1" x14ac:dyDescent="0.2"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3"/>
      <c r="W3" s="243" t="s">
        <v>688</v>
      </c>
    </row>
    <row r="4" spans="1:23" ht="6.75" customHeight="1" x14ac:dyDescent="0.15"/>
    <row r="5" spans="1:23" s="246" customFormat="1" ht="12" x14ac:dyDescent="0.2">
      <c r="H5" s="247" t="s">
        <v>689</v>
      </c>
      <c r="I5" s="248"/>
      <c r="J5" s="249" t="s">
        <v>690</v>
      </c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50"/>
    </row>
    <row r="6" spans="1:23" s="241" customFormat="1" ht="6" customHeight="1" x14ac:dyDescent="0.2">
      <c r="H6" s="242"/>
      <c r="I6" s="242"/>
      <c r="J6" s="242"/>
      <c r="K6" s="242"/>
      <c r="L6" s="242"/>
      <c r="P6" s="242"/>
      <c r="Q6" s="242"/>
      <c r="R6" s="242"/>
      <c r="S6" s="242"/>
      <c r="T6" s="242"/>
      <c r="U6" s="242"/>
      <c r="V6" s="242"/>
      <c r="W6" s="242"/>
    </row>
    <row r="7" spans="1:23" s="241" customFormat="1" ht="10.5" x14ac:dyDescent="0.2">
      <c r="B7" s="251"/>
      <c r="C7" s="251"/>
      <c r="G7" s="251"/>
      <c r="H7" s="251"/>
      <c r="J7" s="251" t="s">
        <v>691</v>
      </c>
      <c r="M7" s="548" t="s">
        <v>692</v>
      </c>
      <c r="N7" s="548"/>
      <c r="O7" s="548"/>
      <c r="Q7" s="251"/>
      <c r="R7" s="251"/>
      <c r="S7" s="251"/>
      <c r="T7" s="251"/>
      <c r="U7" s="251"/>
      <c r="V7" s="251"/>
      <c r="W7" s="251"/>
    </row>
    <row r="8" spans="1:23" s="241" customFormat="1" ht="9" customHeight="1" x14ac:dyDescent="0.2">
      <c r="A8" s="251"/>
      <c r="B8" s="251"/>
      <c r="C8" s="251"/>
      <c r="G8" s="251"/>
      <c r="H8" s="251"/>
      <c r="I8" s="251"/>
      <c r="J8" s="251"/>
      <c r="K8" s="251"/>
      <c r="L8" s="251"/>
      <c r="M8" s="549" t="s">
        <v>2</v>
      </c>
      <c r="N8" s="549"/>
      <c r="O8" s="549"/>
      <c r="Q8" s="251"/>
      <c r="R8" s="251"/>
      <c r="S8" s="251"/>
      <c r="T8" s="251"/>
      <c r="U8" s="251"/>
      <c r="V8" s="251"/>
      <c r="W8" s="251"/>
    </row>
    <row r="9" spans="1:23" s="241" customFormat="1" ht="10.5" x14ac:dyDescent="0.2">
      <c r="A9" s="251"/>
      <c r="B9" s="251"/>
      <c r="G9" s="251"/>
      <c r="H9" s="251"/>
      <c r="I9" s="251"/>
      <c r="J9" s="251"/>
      <c r="K9" s="251"/>
      <c r="L9" s="243" t="s">
        <v>693</v>
      </c>
      <c r="M9" s="808" t="s">
        <v>34</v>
      </c>
      <c r="N9" s="808"/>
      <c r="O9" s="251"/>
      <c r="P9" s="251"/>
      <c r="Q9" s="251"/>
      <c r="R9" s="251"/>
      <c r="S9" s="251"/>
      <c r="T9" s="251"/>
      <c r="U9" s="251"/>
      <c r="V9" s="251"/>
      <c r="W9" s="251"/>
    </row>
    <row r="10" spans="1:23" s="241" customFormat="1" ht="10.5" x14ac:dyDescent="0.2">
      <c r="A10" s="251"/>
      <c r="B10" s="251"/>
      <c r="D10" s="251"/>
      <c r="H10" s="251"/>
      <c r="I10" s="251"/>
      <c r="K10" s="251"/>
      <c r="L10" s="243" t="s">
        <v>694</v>
      </c>
      <c r="M10" s="252" t="s">
        <v>1376</v>
      </c>
      <c r="N10" s="251" t="s">
        <v>695</v>
      </c>
      <c r="O10" s="251"/>
      <c r="P10" s="251"/>
      <c r="Q10" s="251"/>
      <c r="R10" s="251"/>
      <c r="S10" s="251"/>
      <c r="T10" s="251"/>
      <c r="U10" s="251"/>
      <c r="V10" s="251"/>
      <c r="W10" s="251"/>
    </row>
    <row r="11" spans="1:23" s="241" customFormat="1" ht="10.5" x14ac:dyDescent="0.2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</row>
    <row r="12" spans="1:23" s="241" customFormat="1" ht="10.5" x14ac:dyDescent="0.2">
      <c r="B12" s="251"/>
      <c r="C12" s="251"/>
      <c r="D12" s="251"/>
      <c r="E12" s="251"/>
      <c r="F12" s="550" t="s">
        <v>1346</v>
      </c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</row>
    <row r="13" spans="1:23" s="241" customFormat="1" ht="10.5" x14ac:dyDescent="0.2">
      <c r="B13" s="809"/>
      <c r="C13" s="809"/>
      <c r="D13" s="809"/>
      <c r="E13" s="809"/>
      <c r="F13" s="809"/>
      <c r="G13" s="809"/>
      <c r="H13" s="809"/>
      <c r="I13" s="809"/>
      <c r="J13" s="251"/>
      <c r="K13" s="251"/>
      <c r="L13" s="810" t="s">
        <v>174</v>
      </c>
      <c r="M13" s="810"/>
      <c r="N13" s="810"/>
      <c r="O13" s="810"/>
      <c r="P13" s="810"/>
      <c r="Q13" s="251"/>
      <c r="R13" s="251"/>
      <c r="S13" s="251"/>
      <c r="T13" s="251"/>
      <c r="U13" s="251"/>
      <c r="V13" s="251"/>
      <c r="W13" s="251"/>
    </row>
    <row r="14" spans="1:23" s="241" customFormat="1" ht="12.75" customHeight="1" x14ac:dyDescent="0.2">
      <c r="G14" s="253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</row>
    <row r="15" spans="1:23" s="254" customFormat="1" ht="14.25" customHeight="1" thickBot="1" x14ac:dyDescent="0.3">
      <c r="A15" s="811" t="s">
        <v>696</v>
      </c>
      <c r="B15" s="811"/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</row>
    <row r="16" spans="1:23" s="257" customFormat="1" ht="18" customHeight="1" x14ac:dyDescent="0.2">
      <c r="A16" s="836" t="s">
        <v>146</v>
      </c>
      <c r="B16" s="837"/>
      <c r="C16" s="840" t="s">
        <v>697</v>
      </c>
      <c r="D16" s="841"/>
      <c r="E16" s="841"/>
      <c r="F16" s="841"/>
      <c r="G16" s="837"/>
      <c r="H16" s="844" t="s">
        <v>698</v>
      </c>
      <c r="I16" s="255">
        <v>2019</v>
      </c>
      <c r="J16" s="256">
        <v>2020</v>
      </c>
      <c r="K16" s="256">
        <v>2021</v>
      </c>
      <c r="L16" s="822">
        <v>2022</v>
      </c>
      <c r="M16" s="846"/>
      <c r="N16" s="822">
        <v>2023</v>
      </c>
      <c r="O16" s="846"/>
      <c r="P16" s="822">
        <v>2024</v>
      </c>
      <c r="Q16" s="846"/>
      <c r="R16" s="822">
        <v>2025</v>
      </c>
      <c r="S16" s="846"/>
      <c r="T16" s="822">
        <v>2026</v>
      </c>
      <c r="U16" s="846"/>
      <c r="V16" s="822" t="s">
        <v>179</v>
      </c>
      <c r="W16" s="823"/>
    </row>
    <row r="17" spans="1:23" s="257" customFormat="1" ht="42" customHeight="1" x14ac:dyDescent="0.2">
      <c r="A17" s="838"/>
      <c r="B17" s="839"/>
      <c r="C17" s="842"/>
      <c r="D17" s="843"/>
      <c r="E17" s="843"/>
      <c r="F17" s="843"/>
      <c r="G17" s="839"/>
      <c r="H17" s="845"/>
      <c r="I17" s="258" t="s">
        <v>699</v>
      </c>
      <c r="J17" s="259" t="s">
        <v>699</v>
      </c>
      <c r="K17" s="259" t="s">
        <v>700</v>
      </c>
      <c r="L17" s="259" t="s">
        <v>470</v>
      </c>
      <c r="M17" s="259" t="s">
        <v>87</v>
      </c>
      <c r="N17" s="259" t="s">
        <v>470</v>
      </c>
      <c r="O17" s="259" t="s">
        <v>87</v>
      </c>
      <c r="P17" s="259" t="s">
        <v>470</v>
      </c>
      <c r="Q17" s="259" t="s">
        <v>87</v>
      </c>
      <c r="R17" s="259" t="s">
        <v>470</v>
      </c>
      <c r="S17" s="259" t="s">
        <v>87</v>
      </c>
      <c r="T17" s="259" t="s">
        <v>470</v>
      </c>
      <c r="U17" s="259" t="s">
        <v>87</v>
      </c>
      <c r="V17" s="259" t="s">
        <v>701</v>
      </c>
      <c r="W17" s="260" t="s">
        <v>87</v>
      </c>
    </row>
    <row r="18" spans="1:23" s="265" customFormat="1" ht="9" thickBot="1" x14ac:dyDescent="0.3">
      <c r="A18" s="824">
        <v>1</v>
      </c>
      <c r="B18" s="825"/>
      <c r="C18" s="826">
        <v>2</v>
      </c>
      <c r="D18" s="827"/>
      <c r="E18" s="827"/>
      <c r="F18" s="827"/>
      <c r="G18" s="825"/>
      <c r="H18" s="261">
        <v>3</v>
      </c>
      <c r="I18" s="262">
        <v>4</v>
      </c>
      <c r="J18" s="263">
        <v>5</v>
      </c>
      <c r="K18" s="263">
        <v>6</v>
      </c>
      <c r="L18" s="263">
        <v>7</v>
      </c>
      <c r="M18" s="263">
        <v>8</v>
      </c>
      <c r="N18" s="263">
        <v>9</v>
      </c>
      <c r="O18" s="264">
        <v>10</v>
      </c>
      <c r="P18" s="263">
        <v>11</v>
      </c>
      <c r="Q18" s="263">
        <v>12</v>
      </c>
      <c r="R18" s="263">
        <v>11</v>
      </c>
      <c r="S18" s="263">
        <v>12</v>
      </c>
      <c r="T18" s="263">
        <v>11</v>
      </c>
      <c r="U18" s="263">
        <v>12</v>
      </c>
      <c r="V18" s="263">
        <v>13</v>
      </c>
      <c r="W18" s="261">
        <v>14</v>
      </c>
    </row>
    <row r="19" spans="1:23" s="266" customFormat="1" ht="10.5" customHeight="1" thickBot="1" x14ac:dyDescent="0.25">
      <c r="A19" s="828" t="s">
        <v>702</v>
      </c>
      <c r="B19" s="829"/>
      <c r="C19" s="829"/>
      <c r="D19" s="829"/>
      <c r="E19" s="829"/>
      <c r="F19" s="829"/>
      <c r="G19" s="829"/>
      <c r="H19" s="829"/>
      <c r="I19" s="829"/>
      <c r="J19" s="829"/>
      <c r="K19" s="829"/>
      <c r="L19" s="829"/>
      <c r="M19" s="829"/>
      <c r="N19" s="829"/>
      <c r="O19" s="829"/>
      <c r="P19" s="829"/>
      <c r="Q19" s="829"/>
      <c r="R19" s="829"/>
      <c r="S19" s="829"/>
      <c r="T19" s="829"/>
      <c r="U19" s="829"/>
      <c r="V19" s="829"/>
      <c r="W19" s="830"/>
    </row>
    <row r="20" spans="1:23" s="270" customFormat="1" ht="9.75" customHeight="1" x14ac:dyDescent="0.25">
      <c r="A20" s="831" t="s">
        <v>462</v>
      </c>
      <c r="B20" s="832"/>
      <c r="C20" s="833" t="s">
        <v>703</v>
      </c>
      <c r="D20" s="834"/>
      <c r="E20" s="834"/>
      <c r="F20" s="834"/>
      <c r="G20" s="835"/>
      <c r="H20" s="267" t="s">
        <v>704</v>
      </c>
      <c r="I20" s="268">
        <f t="shared" ref="I20:K20" si="0">I26+I28+I34</f>
        <v>115.622</v>
      </c>
      <c r="J20" s="269">
        <f t="shared" si="0"/>
        <v>121.52241066666667</v>
      </c>
      <c r="K20" s="269">
        <f t="shared" si="0"/>
        <v>93.53591200000001</v>
      </c>
      <c r="L20" s="269">
        <f t="shared" ref="L20" si="1">L26+L28+L34</f>
        <v>98.123929429408022</v>
      </c>
      <c r="M20" s="268">
        <f t="shared" ref="M20:W20" si="2">M26+M28+M34</f>
        <v>0</v>
      </c>
      <c r="N20" s="269">
        <f t="shared" si="2"/>
        <v>103.07708254738615</v>
      </c>
      <c r="O20" s="269">
        <f t="shared" si="2"/>
        <v>0</v>
      </c>
      <c r="P20" s="269">
        <f t="shared" si="2"/>
        <v>108.06294348172504</v>
      </c>
      <c r="Q20" s="269">
        <f t="shared" ref="Q20:R20" si="3">Q26+Q28+Q34</f>
        <v>0</v>
      </c>
      <c r="R20" s="269">
        <f t="shared" si="3"/>
        <v>113.31679721608765</v>
      </c>
      <c r="S20" s="269">
        <f t="shared" si="2"/>
        <v>0</v>
      </c>
      <c r="T20" s="269">
        <f t="shared" si="2"/>
        <v>118.85495126579107</v>
      </c>
      <c r="U20" s="269">
        <f t="shared" ref="U20" si="4">U26+U28+U34</f>
        <v>0</v>
      </c>
      <c r="V20" s="269">
        <f>V26+V28+V34</f>
        <v>541.43570394039796</v>
      </c>
      <c r="W20" s="269">
        <f t="shared" si="2"/>
        <v>0</v>
      </c>
    </row>
    <row r="21" spans="1:23" s="270" customFormat="1" ht="8.25" customHeight="1" x14ac:dyDescent="0.25">
      <c r="A21" s="812" t="s">
        <v>35</v>
      </c>
      <c r="B21" s="813"/>
      <c r="C21" s="814" t="s">
        <v>705</v>
      </c>
      <c r="D21" s="815"/>
      <c r="E21" s="815"/>
      <c r="F21" s="815"/>
      <c r="G21" s="816"/>
      <c r="H21" s="271" t="s">
        <v>704</v>
      </c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1"/>
    </row>
    <row r="22" spans="1:23" s="270" customFormat="1" ht="16.5" customHeight="1" x14ac:dyDescent="0.25">
      <c r="A22" s="812" t="s">
        <v>56</v>
      </c>
      <c r="B22" s="813"/>
      <c r="C22" s="814" t="s">
        <v>706</v>
      </c>
      <c r="D22" s="815"/>
      <c r="E22" s="815"/>
      <c r="F22" s="815"/>
      <c r="G22" s="816"/>
      <c r="H22" s="271" t="s">
        <v>704</v>
      </c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1"/>
    </row>
    <row r="23" spans="1:23" s="270" customFormat="1" ht="16.5" customHeight="1" x14ac:dyDescent="0.25">
      <c r="A23" s="812" t="s">
        <v>60</v>
      </c>
      <c r="B23" s="813"/>
      <c r="C23" s="814" t="s">
        <v>707</v>
      </c>
      <c r="D23" s="815"/>
      <c r="E23" s="815"/>
      <c r="F23" s="815"/>
      <c r="G23" s="816"/>
      <c r="H23" s="271" t="s">
        <v>704</v>
      </c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1"/>
    </row>
    <row r="24" spans="1:23" s="270" customFormat="1" ht="16.5" customHeight="1" x14ac:dyDescent="0.25">
      <c r="A24" s="812" t="s">
        <v>63</v>
      </c>
      <c r="B24" s="813"/>
      <c r="C24" s="814" t="s">
        <v>708</v>
      </c>
      <c r="D24" s="815"/>
      <c r="E24" s="815"/>
      <c r="F24" s="815"/>
      <c r="G24" s="816"/>
      <c r="H24" s="271" t="s">
        <v>704</v>
      </c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1"/>
    </row>
    <row r="25" spans="1:23" s="270" customFormat="1" ht="8.1" customHeight="1" x14ac:dyDescent="0.25">
      <c r="A25" s="812" t="s">
        <v>36</v>
      </c>
      <c r="B25" s="813"/>
      <c r="C25" s="814" t="s">
        <v>709</v>
      </c>
      <c r="D25" s="815"/>
      <c r="E25" s="815"/>
      <c r="F25" s="815"/>
      <c r="G25" s="816"/>
      <c r="H25" s="271" t="s">
        <v>704</v>
      </c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1"/>
    </row>
    <row r="26" spans="1:23" s="270" customFormat="1" ht="8.1" customHeight="1" x14ac:dyDescent="0.25">
      <c r="A26" s="817" t="s">
        <v>48</v>
      </c>
      <c r="B26" s="818"/>
      <c r="C26" s="819" t="s">
        <v>710</v>
      </c>
      <c r="D26" s="820"/>
      <c r="E26" s="820"/>
      <c r="F26" s="820"/>
      <c r="G26" s="821"/>
      <c r="H26" s="274" t="s">
        <v>704</v>
      </c>
      <c r="I26" s="275">
        <v>85.081999999999994</v>
      </c>
      <c r="J26" s="276">
        <f>71.375+2.429+J54</f>
        <v>91.690744000000009</v>
      </c>
      <c r="K26" s="276">
        <f>70.662+K54-1.366+5.293+(-1.366+5.293)*0.12+3.406</f>
        <v>93.53591200000001</v>
      </c>
      <c r="L26" s="276">
        <f>(70.662+L54-1.366+5.293+(-1.366+5.293)*0.12+3.406)*Ф17!E15</f>
        <v>98.123929429408022</v>
      </c>
      <c r="M26" s="275"/>
      <c r="N26" s="276">
        <f>(70.662+N54-1.366+5.293+(-1.366+5.293)*0.12+3.406)*Ф17!E15*Ф17!F15</f>
        <v>103.07708254738615</v>
      </c>
      <c r="O26" s="276"/>
      <c r="P26" s="276">
        <f>(70.662+P54-1.366+5.293+(-1.366+5.293)*0.12+3.406)*Ф17!E15*Ф17!F15*Ф17!G15</f>
        <v>108.06294348172504</v>
      </c>
      <c r="Q26" s="276"/>
      <c r="R26" s="276">
        <f>(70.662+R54-1.366+5.293+(-1.366+5.293)*0.12+3.406)*Ф17!E15*Ф17!F15*Ф17!G15*Ф17!H15</f>
        <v>113.31679721608765</v>
      </c>
      <c r="S26" s="276"/>
      <c r="T26" s="276">
        <f>(70.662+T54-1.366+5.293+(-1.366+5.293)*0.12+3.406)*Ф17!E15*Ф17!F15*Ф17!G15*Ф17!H15*Ф17!I15</f>
        <v>118.85495126579107</v>
      </c>
      <c r="U26" s="276"/>
      <c r="V26" s="276">
        <f>L26+N26+P26+R26+T26</f>
        <v>541.43570394039796</v>
      </c>
      <c r="W26" s="276">
        <f>M26+O26+S26</f>
        <v>0</v>
      </c>
    </row>
    <row r="27" spans="1:23" s="270" customFormat="1" ht="8.1" customHeight="1" x14ac:dyDescent="0.25">
      <c r="A27" s="812" t="s">
        <v>711</v>
      </c>
      <c r="B27" s="813"/>
      <c r="C27" s="814" t="s">
        <v>712</v>
      </c>
      <c r="D27" s="815"/>
      <c r="E27" s="815"/>
      <c r="F27" s="815"/>
      <c r="G27" s="816"/>
      <c r="H27" s="271" t="s">
        <v>704</v>
      </c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1"/>
    </row>
    <row r="28" spans="1:23" s="270" customFormat="1" ht="8.1" customHeight="1" x14ac:dyDescent="0.25">
      <c r="A28" s="817" t="s">
        <v>713</v>
      </c>
      <c r="B28" s="818"/>
      <c r="C28" s="819" t="s">
        <v>714</v>
      </c>
      <c r="D28" s="820"/>
      <c r="E28" s="820"/>
      <c r="F28" s="820"/>
      <c r="G28" s="821"/>
      <c r="H28" s="274" t="s">
        <v>704</v>
      </c>
      <c r="I28" s="275">
        <v>11.301</v>
      </c>
      <c r="J28" s="277">
        <f>24.038/1.2</f>
        <v>20.031666666666666</v>
      </c>
      <c r="K28" s="275"/>
      <c r="L28" s="275"/>
      <c r="M28" s="275"/>
      <c r="N28" s="275"/>
      <c r="O28" s="277"/>
      <c r="P28" s="275"/>
      <c r="Q28" s="275"/>
      <c r="R28" s="275"/>
      <c r="S28" s="275"/>
      <c r="T28" s="275"/>
      <c r="U28" s="275"/>
      <c r="V28" s="276">
        <f>L28+N28+P28+R28+T28</f>
        <v>0</v>
      </c>
      <c r="W28" s="276">
        <f>M28+O28+S28</f>
        <v>0</v>
      </c>
    </row>
    <row r="29" spans="1:23" s="270" customFormat="1" ht="8.1" customHeight="1" x14ac:dyDescent="0.25">
      <c r="A29" s="812" t="s">
        <v>466</v>
      </c>
      <c r="B29" s="813"/>
      <c r="C29" s="814" t="s">
        <v>715</v>
      </c>
      <c r="D29" s="815"/>
      <c r="E29" s="815"/>
      <c r="F29" s="815"/>
      <c r="G29" s="816"/>
      <c r="H29" s="271" t="s">
        <v>704</v>
      </c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1"/>
    </row>
    <row r="30" spans="1:23" s="270" customFormat="1" ht="8.1" customHeight="1" x14ac:dyDescent="0.25">
      <c r="A30" s="812" t="s">
        <v>716</v>
      </c>
      <c r="B30" s="813"/>
      <c r="C30" s="814" t="s">
        <v>717</v>
      </c>
      <c r="D30" s="815"/>
      <c r="E30" s="815"/>
      <c r="F30" s="815"/>
      <c r="G30" s="816"/>
      <c r="H30" s="271" t="s">
        <v>704</v>
      </c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1"/>
    </row>
    <row r="31" spans="1:23" s="270" customFormat="1" ht="16.5" customHeight="1" x14ac:dyDescent="0.25">
      <c r="A31" s="812" t="s">
        <v>718</v>
      </c>
      <c r="B31" s="813"/>
      <c r="C31" s="814" t="s">
        <v>719</v>
      </c>
      <c r="D31" s="815"/>
      <c r="E31" s="815"/>
      <c r="F31" s="815"/>
      <c r="G31" s="816"/>
      <c r="H31" s="271" t="s">
        <v>704</v>
      </c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1"/>
    </row>
    <row r="32" spans="1:23" s="270" customFormat="1" ht="8.1" customHeight="1" x14ac:dyDescent="0.25">
      <c r="A32" s="812" t="s">
        <v>720</v>
      </c>
      <c r="B32" s="813"/>
      <c r="C32" s="847" t="s">
        <v>721</v>
      </c>
      <c r="D32" s="848"/>
      <c r="E32" s="848"/>
      <c r="F32" s="848"/>
      <c r="G32" s="849"/>
      <c r="H32" s="271" t="s">
        <v>704</v>
      </c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1"/>
    </row>
    <row r="33" spans="1:23" s="270" customFormat="1" ht="8.1" customHeight="1" x14ac:dyDescent="0.25">
      <c r="A33" s="812" t="s">
        <v>722</v>
      </c>
      <c r="B33" s="813"/>
      <c r="C33" s="847" t="s">
        <v>723</v>
      </c>
      <c r="D33" s="848"/>
      <c r="E33" s="848"/>
      <c r="F33" s="848"/>
      <c r="G33" s="849"/>
      <c r="H33" s="271" t="s">
        <v>704</v>
      </c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1"/>
    </row>
    <row r="34" spans="1:23" s="270" customFormat="1" ht="8.1" customHeight="1" x14ac:dyDescent="0.25">
      <c r="A34" s="817" t="s">
        <v>724</v>
      </c>
      <c r="B34" s="818"/>
      <c r="C34" s="819" t="s">
        <v>725</v>
      </c>
      <c r="D34" s="820"/>
      <c r="E34" s="820"/>
      <c r="F34" s="820"/>
      <c r="G34" s="821"/>
      <c r="H34" s="274" t="s">
        <v>704</v>
      </c>
      <c r="I34" s="275">
        <v>19.239000000000001</v>
      </c>
      <c r="J34" s="278">
        <v>9.8000000000000007</v>
      </c>
      <c r="K34" s="275"/>
      <c r="L34" s="275"/>
      <c r="M34" s="275"/>
      <c r="N34" s="275"/>
      <c r="O34" s="278"/>
      <c r="P34" s="275"/>
      <c r="Q34" s="275"/>
      <c r="R34" s="275"/>
      <c r="S34" s="275"/>
      <c r="T34" s="275"/>
      <c r="U34" s="275"/>
      <c r="V34" s="276">
        <f>L34+N34+P34+R34+T34</f>
        <v>0</v>
      </c>
      <c r="W34" s="276">
        <f>M34+O34+S34</f>
        <v>0</v>
      </c>
    </row>
    <row r="35" spans="1:23" s="270" customFormat="1" ht="16.5" customHeight="1" x14ac:dyDescent="0.25">
      <c r="A35" s="850" t="s">
        <v>726</v>
      </c>
      <c r="B35" s="851"/>
      <c r="C35" s="852" t="s">
        <v>727</v>
      </c>
      <c r="D35" s="853"/>
      <c r="E35" s="853"/>
      <c r="F35" s="853"/>
      <c r="G35" s="854"/>
      <c r="H35" s="279" t="s">
        <v>704</v>
      </c>
      <c r="I35" s="280">
        <f t="shared" ref="I35" si="5">I41+I43+I49</f>
        <v>88.147000000000006</v>
      </c>
      <c r="J35" s="281">
        <f>J41+J43+J49</f>
        <v>83.864744000000002</v>
      </c>
      <c r="K35" s="281">
        <f t="shared" ref="K35:L35" si="6">K41+K43+K49</f>
        <v>83.873671999999999</v>
      </c>
      <c r="L35" s="281">
        <f t="shared" si="6"/>
        <v>91.555875349407998</v>
      </c>
      <c r="M35" s="280">
        <f t="shared" ref="M35:W35" si="7">M41+M43+M49</f>
        <v>0</v>
      </c>
      <c r="N35" s="281">
        <f t="shared" si="7"/>
        <v>97.076102141946137</v>
      </c>
      <c r="O35" s="281">
        <f>O41+O43+O49</f>
        <v>0</v>
      </c>
      <c r="P35" s="281">
        <f t="shared" ref="P35" si="8">P41+P43+P49</f>
        <v>102.631422879662</v>
      </c>
      <c r="Q35" s="281">
        <f t="shared" ref="Q35:R35" si="9">Q41+Q43+Q49</f>
        <v>0</v>
      </c>
      <c r="R35" s="281">
        <f t="shared" si="9"/>
        <v>108.43708426934002</v>
      </c>
      <c r="S35" s="281">
        <f t="shared" si="7"/>
        <v>0</v>
      </c>
      <c r="T35" s="281">
        <f t="shared" si="7"/>
        <v>114.50867008822681</v>
      </c>
      <c r="U35" s="281">
        <f t="shared" ref="U35" si="10">U41+U43+U49</f>
        <v>0</v>
      </c>
      <c r="V35" s="281">
        <f t="shared" si="7"/>
        <v>514.20915472858292</v>
      </c>
      <c r="W35" s="281">
        <f t="shared" si="7"/>
        <v>0</v>
      </c>
    </row>
    <row r="36" spans="1:23" s="270" customFormat="1" ht="8.1" customHeight="1" x14ac:dyDescent="0.25">
      <c r="A36" s="812" t="s">
        <v>728</v>
      </c>
      <c r="B36" s="813"/>
      <c r="C36" s="814" t="s">
        <v>705</v>
      </c>
      <c r="D36" s="815"/>
      <c r="E36" s="815"/>
      <c r="F36" s="815"/>
      <c r="G36" s="816"/>
      <c r="H36" s="271" t="s">
        <v>704</v>
      </c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1"/>
    </row>
    <row r="37" spans="1:23" s="270" customFormat="1" ht="16.5" customHeight="1" x14ac:dyDescent="0.25">
      <c r="A37" s="812" t="s">
        <v>729</v>
      </c>
      <c r="B37" s="813"/>
      <c r="C37" s="847" t="s">
        <v>706</v>
      </c>
      <c r="D37" s="848"/>
      <c r="E37" s="848"/>
      <c r="F37" s="848"/>
      <c r="G37" s="849"/>
      <c r="H37" s="271" t="s">
        <v>704</v>
      </c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1"/>
    </row>
    <row r="38" spans="1:23" s="270" customFormat="1" ht="16.5" customHeight="1" x14ac:dyDescent="0.25">
      <c r="A38" s="812" t="s">
        <v>730</v>
      </c>
      <c r="B38" s="813"/>
      <c r="C38" s="847" t="s">
        <v>707</v>
      </c>
      <c r="D38" s="848"/>
      <c r="E38" s="848"/>
      <c r="F38" s="848"/>
      <c r="G38" s="849"/>
      <c r="H38" s="271" t="s">
        <v>704</v>
      </c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1"/>
    </row>
    <row r="39" spans="1:23" s="270" customFormat="1" ht="16.5" customHeight="1" x14ac:dyDescent="0.25">
      <c r="A39" s="812" t="s">
        <v>731</v>
      </c>
      <c r="B39" s="813"/>
      <c r="C39" s="847" t="s">
        <v>708</v>
      </c>
      <c r="D39" s="848"/>
      <c r="E39" s="848"/>
      <c r="F39" s="848"/>
      <c r="G39" s="849"/>
      <c r="H39" s="271" t="s">
        <v>704</v>
      </c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1"/>
    </row>
    <row r="40" spans="1:23" s="270" customFormat="1" ht="8.1" customHeight="1" x14ac:dyDescent="0.25">
      <c r="A40" s="812" t="s">
        <v>732</v>
      </c>
      <c r="B40" s="813"/>
      <c r="C40" s="814" t="s">
        <v>709</v>
      </c>
      <c r="D40" s="815"/>
      <c r="E40" s="815"/>
      <c r="F40" s="815"/>
      <c r="G40" s="816"/>
      <c r="H40" s="271" t="s">
        <v>704</v>
      </c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1"/>
    </row>
    <row r="41" spans="1:23" s="270" customFormat="1" ht="8.1" customHeight="1" x14ac:dyDescent="0.25">
      <c r="A41" s="817" t="s">
        <v>733</v>
      </c>
      <c r="B41" s="818"/>
      <c r="C41" s="819" t="s">
        <v>710</v>
      </c>
      <c r="D41" s="820"/>
      <c r="E41" s="820"/>
      <c r="F41" s="820"/>
      <c r="G41" s="821"/>
      <c r="H41" s="274" t="s">
        <v>704</v>
      </c>
      <c r="I41" s="275">
        <v>79.195999999999998</v>
      </c>
      <c r="J41" s="276">
        <f>65.591-1.772-1.613+J54</f>
        <v>80.092743999999996</v>
      </c>
      <c r="K41" s="276">
        <f>64.877+K54-1.366+5.293</f>
        <v>83.873671999999999</v>
      </c>
      <c r="L41" s="276">
        <f>(64.877+L54-1.366+5.293)*Ф17!E15</f>
        <v>88.055875349407998</v>
      </c>
      <c r="M41" s="275"/>
      <c r="N41" s="276">
        <f>(64.877+N54-1.366+5.293)*Ф17!E15*Ф17!F15</f>
        <v>92.576102141946137</v>
      </c>
      <c r="O41" s="276"/>
      <c r="P41" s="276">
        <f>(64.877+P54-1.366+5.293)*Ф17!E15*Ф17!F15*Ф17!G15</f>
        <v>97.131422879661997</v>
      </c>
      <c r="Q41" s="276"/>
      <c r="R41" s="276">
        <f>(64.877+R54-1.366+5.293)*Ф17!E15*Ф17!F15*Ф17!G15*Ф17!H15</f>
        <v>101.93708426934002</v>
      </c>
      <c r="S41" s="276"/>
      <c r="T41" s="276">
        <f>(64.877+T54-1.366+5.293)*Ф17!E15*Ф17!F15*Ф17!G15*Ф17!H15*Ф17!I15</f>
        <v>107.00867008822681</v>
      </c>
      <c r="U41" s="276"/>
      <c r="V41" s="276">
        <f>L41+N41+P41+R41+T41</f>
        <v>486.70915472858292</v>
      </c>
      <c r="W41" s="276">
        <f>M41+O41+S41</f>
        <v>0</v>
      </c>
    </row>
    <row r="42" spans="1:23" s="270" customFormat="1" ht="8.1" customHeight="1" x14ac:dyDescent="0.25">
      <c r="A42" s="812" t="s">
        <v>734</v>
      </c>
      <c r="B42" s="813"/>
      <c r="C42" s="814" t="s">
        <v>712</v>
      </c>
      <c r="D42" s="815"/>
      <c r="E42" s="815"/>
      <c r="F42" s="815"/>
      <c r="G42" s="816"/>
      <c r="H42" s="271" t="s">
        <v>704</v>
      </c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1"/>
    </row>
    <row r="43" spans="1:23" s="270" customFormat="1" ht="8.1" customHeight="1" x14ac:dyDescent="0.25">
      <c r="A43" s="817" t="s">
        <v>735</v>
      </c>
      <c r="B43" s="818"/>
      <c r="C43" s="819" t="s">
        <v>714</v>
      </c>
      <c r="D43" s="820"/>
      <c r="E43" s="820"/>
      <c r="F43" s="820"/>
      <c r="G43" s="821"/>
      <c r="H43" s="274" t="s">
        <v>704</v>
      </c>
      <c r="I43" s="275">
        <v>1.8009999999999999</v>
      </c>
      <c r="J43" s="275">
        <v>1.772</v>
      </c>
      <c r="K43" s="275"/>
      <c r="L43" s="275">
        <v>3.5</v>
      </c>
      <c r="M43" s="275"/>
      <c r="N43" s="275">
        <v>4.5</v>
      </c>
      <c r="O43" s="275"/>
      <c r="P43" s="275">
        <v>5.5</v>
      </c>
      <c r="Q43" s="275"/>
      <c r="R43" s="275">
        <v>6.5</v>
      </c>
      <c r="S43" s="275"/>
      <c r="T43" s="275">
        <v>7.5</v>
      </c>
      <c r="U43" s="275"/>
      <c r="V43" s="276">
        <f>L43+N43+P43+R43+T43</f>
        <v>27.5</v>
      </c>
      <c r="W43" s="276">
        <f>M43+O43+S43</f>
        <v>0</v>
      </c>
    </row>
    <row r="44" spans="1:23" s="270" customFormat="1" ht="8.1" customHeight="1" x14ac:dyDescent="0.25">
      <c r="A44" s="812" t="s">
        <v>736</v>
      </c>
      <c r="B44" s="813"/>
      <c r="C44" s="814" t="s">
        <v>715</v>
      </c>
      <c r="D44" s="815"/>
      <c r="E44" s="815"/>
      <c r="F44" s="815"/>
      <c r="G44" s="816"/>
      <c r="H44" s="271" t="s">
        <v>704</v>
      </c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1"/>
    </row>
    <row r="45" spans="1:23" s="270" customFormat="1" ht="8.1" customHeight="1" x14ac:dyDescent="0.25">
      <c r="A45" s="812" t="s">
        <v>737</v>
      </c>
      <c r="B45" s="813"/>
      <c r="C45" s="814" t="s">
        <v>717</v>
      </c>
      <c r="D45" s="815"/>
      <c r="E45" s="815"/>
      <c r="F45" s="815"/>
      <c r="G45" s="816"/>
      <c r="H45" s="271" t="s">
        <v>704</v>
      </c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1"/>
    </row>
    <row r="46" spans="1:23" s="270" customFormat="1" ht="16.5" customHeight="1" x14ac:dyDescent="0.25">
      <c r="A46" s="812" t="s">
        <v>738</v>
      </c>
      <c r="B46" s="813"/>
      <c r="C46" s="814" t="s">
        <v>719</v>
      </c>
      <c r="D46" s="815"/>
      <c r="E46" s="815"/>
      <c r="F46" s="815"/>
      <c r="G46" s="816"/>
      <c r="H46" s="271" t="s">
        <v>704</v>
      </c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1"/>
    </row>
    <row r="47" spans="1:23" s="270" customFormat="1" ht="8.1" customHeight="1" x14ac:dyDescent="0.25">
      <c r="A47" s="812" t="s">
        <v>739</v>
      </c>
      <c r="B47" s="813"/>
      <c r="C47" s="847" t="s">
        <v>721</v>
      </c>
      <c r="D47" s="848"/>
      <c r="E47" s="848"/>
      <c r="F47" s="848"/>
      <c r="G47" s="849"/>
      <c r="H47" s="271" t="s">
        <v>704</v>
      </c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1"/>
    </row>
    <row r="48" spans="1:23" s="270" customFormat="1" ht="8.1" customHeight="1" x14ac:dyDescent="0.25">
      <c r="A48" s="812" t="s">
        <v>740</v>
      </c>
      <c r="B48" s="813"/>
      <c r="C48" s="847" t="s">
        <v>723</v>
      </c>
      <c r="D48" s="848"/>
      <c r="E48" s="848"/>
      <c r="F48" s="848"/>
      <c r="G48" s="849"/>
      <c r="H48" s="271" t="s">
        <v>704</v>
      </c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1"/>
    </row>
    <row r="49" spans="1:23" s="270" customFormat="1" ht="8.1" customHeight="1" x14ac:dyDescent="0.25">
      <c r="A49" s="817" t="s">
        <v>741</v>
      </c>
      <c r="B49" s="818"/>
      <c r="C49" s="819" t="s">
        <v>725</v>
      </c>
      <c r="D49" s="820"/>
      <c r="E49" s="820"/>
      <c r="F49" s="820"/>
      <c r="G49" s="821"/>
      <c r="H49" s="274" t="s">
        <v>704</v>
      </c>
      <c r="I49" s="275">
        <v>7.15</v>
      </c>
      <c r="J49" s="278">
        <v>2</v>
      </c>
      <c r="K49" s="275"/>
      <c r="L49" s="275"/>
      <c r="M49" s="275"/>
      <c r="N49" s="275"/>
      <c r="O49" s="278"/>
      <c r="P49" s="275"/>
      <c r="Q49" s="275"/>
      <c r="R49" s="275"/>
      <c r="S49" s="275"/>
      <c r="T49" s="275"/>
      <c r="U49" s="275"/>
      <c r="V49" s="276">
        <f>L49+N49+P49+R49+T49</f>
        <v>0</v>
      </c>
      <c r="W49" s="276">
        <f>M49+O49+S49</f>
        <v>0</v>
      </c>
    </row>
    <row r="50" spans="1:23" s="270" customFormat="1" ht="8.1" customHeight="1" x14ac:dyDescent="0.25">
      <c r="A50" s="850" t="s">
        <v>742</v>
      </c>
      <c r="B50" s="851"/>
      <c r="C50" s="855" t="s">
        <v>743</v>
      </c>
      <c r="D50" s="856"/>
      <c r="E50" s="856"/>
      <c r="F50" s="856"/>
      <c r="G50" s="857"/>
      <c r="H50" s="279" t="s">
        <v>704</v>
      </c>
      <c r="I50" s="280">
        <f t="shared" ref="I50:K50" si="11">I54+I57+I58</f>
        <v>8.8850000000000016</v>
      </c>
      <c r="J50" s="280">
        <f t="shared" si="11"/>
        <v>31.589744000000003</v>
      </c>
      <c r="K50" s="280">
        <f t="shared" si="11"/>
        <v>29.137672000000002</v>
      </c>
      <c r="L50" s="280">
        <f t="shared" ref="L50" si="12">L54+L57+L58</f>
        <v>30.361454223999999</v>
      </c>
      <c r="M50" s="280">
        <f t="shared" ref="M50:W50" si="13">M54+M57+M58</f>
        <v>0</v>
      </c>
      <c r="N50" s="280">
        <f t="shared" si="13"/>
        <v>31.666996755631995</v>
      </c>
      <c r="O50" s="280">
        <f t="shared" si="13"/>
        <v>0</v>
      </c>
      <c r="P50" s="280">
        <f t="shared" si="13"/>
        <v>32.965343622612906</v>
      </c>
      <c r="Q50" s="280">
        <f t="shared" ref="Q50:R50" si="14">Q54+Q57+Q58</f>
        <v>0</v>
      </c>
      <c r="R50" s="280">
        <f t="shared" si="14"/>
        <v>34.316922711140037</v>
      </c>
      <c r="S50" s="280">
        <f t="shared" si="13"/>
        <v>0</v>
      </c>
      <c r="T50" s="280">
        <f t="shared" si="13"/>
        <v>35.72391654229677</v>
      </c>
      <c r="U50" s="280">
        <f t="shared" ref="U50" si="15">U54+U57+U58</f>
        <v>0</v>
      </c>
      <c r="V50" s="280">
        <f t="shared" si="13"/>
        <v>165.0346338556817</v>
      </c>
      <c r="W50" s="280">
        <f t="shared" si="13"/>
        <v>0</v>
      </c>
    </row>
    <row r="51" spans="1:23" s="270" customFormat="1" ht="8.1" customHeight="1" x14ac:dyDescent="0.25">
      <c r="A51" s="812" t="s">
        <v>729</v>
      </c>
      <c r="B51" s="813"/>
      <c r="C51" s="847" t="s">
        <v>744</v>
      </c>
      <c r="D51" s="848"/>
      <c r="E51" s="848"/>
      <c r="F51" s="848"/>
      <c r="G51" s="849"/>
      <c r="H51" s="271" t="s">
        <v>704</v>
      </c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1"/>
    </row>
    <row r="52" spans="1:23" s="270" customFormat="1" ht="8.1" customHeight="1" x14ac:dyDescent="0.25">
      <c r="A52" s="812" t="s">
        <v>730</v>
      </c>
      <c r="B52" s="813"/>
      <c r="C52" s="847" t="s">
        <v>745</v>
      </c>
      <c r="D52" s="848"/>
      <c r="E52" s="848"/>
      <c r="F52" s="848"/>
      <c r="G52" s="849"/>
      <c r="H52" s="271" t="s">
        <v>704</v>
      </c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1"/>
    </row>
    <row r="53" spans="1:23" s="270" customFormat="1" ht="8.1" customHeight="1" x14ac:dyDescent="0.25">
      <c r="A53" s="812" t="s">
        <v>746</v>
      </c>
      <c r="B53" s="813"/>
      <c r="C53" s="864" t="s">
        <v>747</v>
      </c>
      <c r="D53" s="865"/>
      <c r="E53" s="865"/>
      <c r="F53" s="865"/>
      <c r="G53" s="866"/>
      <c r="H53" s="271" t="s">
        <v>704</v>
      </c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1"/>
    </row>
    <row r="54" spans="1:23" s="270" customFormat="1" ht="16.5" customHeight="1" x14ac:dyDescent="0.25">
      <c r="A54" s="817" t="s">
        <v>748</v>
      </c>
      <c r="B54" s="818"/>
      <c r="C54" s="858" t="s">
        <v>749</v>
      </c>
      <c r="D54" s="859"/>
      <c r="E54" s="859"/>
      <c r="F54" s="859"/>
      <c r="G54" s="860"/>
      <c r="H54" s="274" t="s">
        <v>704</v>
      </c>
      <c r="I54" s="275">
        <v>4.8120000000000003</v>
      </c>
      <c r="J54" s="276">
        <f>8.2809*2.16</f>
        <v>17.886744000000004</v>
      </c>
      <c r="K54" s="276">
        <f>6.9767*2.16</f>
        <v>15.069672000000001</v>
      </c>
      <c r="L54" s="276">
        <f>6.9767*2.16*Ф17!E15</f>
        <v>15.702598224000001</v>
      </c>
      <c r="M54" s="275"/>
      <c r="N54" s="276">
        <f>6.9767*2.16*Ф17!E15*Ф17!F15</f>
        <v>16.377809947631999</v>
      </c>
      <c r="O54" s="276"/>
      <c r="P54" s="276">
        <f>6.9767*2.16*Ф17!E15*Ф17!F15*Ф17!G15</f>
        <v>17.049300155484911</v>
      </c>
      <c r="Q54" s="276"/>
      <c r="R54" s="276">
        <f>6.9767*2.16*Ф17!E15*Ф17!F15*Ф17!G15*Ф17!H15</f>
        <v>17.748321461859792</v>
      </c>
      <c r="S54" s="276"/>
      <c r="T54" s="276">
        <f>6.9767*2.16*Ф17!E15*Ф17!F15*Ф17!G15*Ф17!H15*Ф17!I15</f>
        <v>18.476002641796043</v>
      </c>
      <c r="U54" s="276"/>
      <c r="V54" s="276">
        <f>L54+N54+P54+R54+T54</f>
        <v>85.354032430772747</v>
      </c>
      <c r="W54" s="276">
        <f>M54+O54+S54</f>
        <v>0</v>
      </c>
    </row>
    <row r="55" spans="1:23" s="270" customFormat="1" ht="8.1" customHeight="1" x14ac:dyDescent="0.25">
      <c r="A55" s="812" t="s">
        <v>750</v>
      </c>
      <c r="B55" s="813"/>
      <c r="C55" s="861" t="s">
        <v>751</v>
      </c>
      <c r="D55" s="862"/>
      <c r="E55" s="862"/>
      <c r="F55" s="862"/>
      <c r="G55" s="863"/>
      <c r="H55" s="271" t="s">
        <v>704</v>
      </c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1"/>
    </row>
    <row r="56" spans="1:23" s="270" customFormat="1" ht="8.1" customHeight="1" x14ac:dyDescent="0.25">
      <c r="A56" s="812" t="s">
        <v>752</v>
      </c>
      <c r="B56" s="813"/>
      <c r="C56" s="864" t="s">
        <v>753</v>
      </c>
      <c r="D56" s="865"/>
      <c r="E56" s="865"/>
      <c r="F56" s="865"/>
      <c r="G56" s="866"/>
      <c r="H56" s="271" t="s">
        <v>704</v>
      </c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1"/>
    </row>
    <row r="57" spans="1:23" s="270" customFormat="1" ht="8.1" customHeight="1" x14ac:dyDescent="0.25">
      <c r="A57" s="817" t="s">
        <v>731</v>
      </c>
      <c r="B57" s="818"/>
      <c r="C57" s="867" t="s">
        <v>754</v>
      </c>
      <c r="D57" s="868"/>
      <c r="E57" s="868"/>
      <c r="F57" s="868"/>
      <c r="G57" s="869"/>
      <c r="H57" s="274" t="s">
        <v>704</v>
      </c>
      <c r="I57" s="275">
        <v>3.782</v>
      </c>
      <c r="J57" s="275">
        <v>13.332000000000001</v>
      </c>
      <c r="K57" s="275">
        <v>13.686999999999999</v>
      </c>
      <c r="L57" s="275">
        <f>13.687*Ф17!E15</f>
        <v>14.261854</v>
      </c>
      <c r="M57" s="275"/>
      <c r="N57" s="275">
        <f>13.687*Ф17!E15*Ф17!F15</f>
        <v>14.875113721999998</v>
      </c>
      <c r="O57" s="275"/>
      <c r="P57" s="275">
        <f>13.687*Ф17!E15*Ф17!F15*Ф17!G15</f>
        <v>15.484993384601998</v>
      </c>
      <c r="Q57" s="275"/>
      <c r="R57" s="275">
        <f>13.687*Ф17!E15*Ф17!F15*Ф17!G15*Ф17!H15</f>
        <v>16.119878113370678</v>
      </c>
      <c r="S57" s="275"/>
      <c r="T57" s="275">
        <f>13.687*Ф17!E15*Ф17!F15*Ф17!G15*Ф17!H15*Ф17!I15</f>
        <v>16.780793116018874</v>
      </c>
      <c r="U57" s="275"/>
      <c r="V57" s="276">
        <f>L57+N57+P57+R57+T57</f>
        <v>77.522632335991545</v>
      </c>
      <c r="W57" s="276">
        <f>M57+O57+S57</f>
        <v>0</v>
      </c>
    </row>
    <row r="58" spans="1:23" s="270" customFormat="1" ht="8.1" customHeight="1" x14ac:dyDescent="0.25">
      <c r="A58" s="817" t="s">
        <v>755</v>
      </c>
      <c r="B58" s="818"/>
      <c r="C58" s="867" t="s">
        <v>756</v>
      </c>
      <c r="D58" s="868"/>
      <c r="E58" s="868"/>
      <c r="F58" s="868"/>
      <c r="G58" s="869"/>
      <c r="H58" s="274" t="s">
        <v>704</v>
      </c>
      <c r="I58" s="275">
        <f>0.163+0.128</f>
        <v>0.29100000000000004</v>
      </c>
      <c r="J58" s="275">
        <f>0.371</f>
        <v>0.371</v>
      </c>
      <c r="K58" s="275">
        <f>0.381</f>
        <v>0.38100000000000001</v>
      </c>
      <c r="L58" s="275">
        <f>0.381*Ф17!E15</f>
        <v>0.39700200000000002</v>
      </c>
      <c r="M58" s="275"/>
      <c r="N58" s="275">
        <f>0.381*Ф17!E15*Ф17!F15</f>
        <v>0.41407308599999998</v>
      </c>
      <c r="O58" s="275"/>
      <c r="P58" s="275">
        <f>0.381*Ф17!E15*Ф17!F15*Ф17!G15</f>
        <v>0.43105008252599997</v>
      </c>
      <c r="Q58" s="275"/>
      <c r="R58" s="275">
        <f>0.381*Ф17!E15*Ф17!F15*Ф17!G15*Ф17!H15</f>
        <v>0.44872313590956592</v>
      </c>
      <c r="S58" s="275"/>
      <c r="T58" s="275">
        <f>0.381*Ф17!E15*Ф17!F15*Ф17!G15*Ф17!H15*Ф17!I15</f>
        <v>0.46712078448185806</v>
      </c>
      <c r="U58" s="275"/>
      <c r="V58" s="276">
        <f>L58+N58+P58+R58+T58</f>
        <v>2.1579690889174241</v>
      </c>
      <c r="W58" s="276">
        <f>M58+O58+S58</f>
        <v>0</v>
      </c>
    </row>
    <row r="59" spans="1:23" s="270" customFormat="1" ht="8.1" customHeight="1" x14ac:dyDescent="0.25">
      <c r="A59" s="850" t="s">
        <v>757</v>
      </c>
      <c r="B59" s="851"/>
      <c r="C59" s="855" t="s">
        <v>758</v>
      </c>
      <c r="D59" s="856"/>
      <c r="E59" s="856"/>
      <c r="F59" s="856"/>
      <c r="G59" s="857"/>
      <c r="H59" s="279" t="s">
        <v>704</v>
      </c>
      <c r="I59" s="280">
        <f t="shared" ref="I59:K59" si="16">I64</f>
        <v>35.329000000000001</v>
      </c>
      <c r="J59" s="280">
        <f t="shared" si="16"/>
        <v>6.444</v>
      </c>
      <c r="K59" s="280">
        <f t="shared" si="16"/>
        <v>6.6159999999999997</v>
      </c>
      <c r="L59" s="280">
        <f t="shared" ref="L59" si="17">L64</f>
        <v>6.893872</v>
      </c>
      <c r="M59" s="280">
        <f t="shared" ref="M59:W59" si="18">M64</f>
        <v>0</v>
      </c>
      <c r="N59" s="280">
        <f t="shared" si="18"/>
        <v>7.1903084959999992</v>
      </c>
      <c r="O59" s="280">
        <f t="shared" si="18"/>
        <v>0</v>
      </c>
      <c r="P59" s="280">
        <f t="shared" si="18"/>
        <v>7.485111144335999</v>
      </c>
      <c r="Q59" s="280">
        <f t="shared" ref="Q59:R59" si="19">Q64</f>
        <v>0</v>
      </c>
      <c r="R59" s="280">
        <f t="shared" si="19"/>
        <v>7.792000701253774</v>
      </c>
      <c r="S59" s="280">
        <f t="shared" si="18"/>
        <v>0</v>
      </c>
      <c r="T59" s="280">
        <f t="shared" si="18"/>
        <v>8.111472730005179</v>
      </c>
      <c r="U59" s="280">
        <f t="shared" ref="U59" si="20">U64</f>
        <v>0</v>
      </c>
      <c r="V59" s="280">
        <f t="shared" si="18"/>
        <v>37.472765071594949</v>
      </c>
      <c r="W59" s="280">
        <f t="shared" si="18"/>
        <v>0</v>
      </c>
    </row>
    <row r="60" spans="1:23" s="270" customFormat="1" ht="16.5" customHeight="1" x14ac:dyDescent="0.25">
      <c r="A60" s="812" t="s">
        <v>759</v>
      </c>
      <c r="B60" s="813"/>
      <c r="C60" s="847" t="s">
        <v>760</v>
      </c>
      <c r="D60" s="848"/>
      <c r="E60" s="848"/>
      <c r="F60" s="848"/>
      <c r="G60" s="849"/>
      <c r="H60" s="271" t="s">
        <v>704</v>
      </c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1"/>
    </row>
    <row r="61" spans="1:23" s="270" customFormat="1" ht="16.5" customHeight="1" x14ac:dyDescent="0.25">
      <c r="A61" s="812" t="s">
        <v>761</v>
      </c>
      <c r="B61" s="813"/>
      <c r="C61" s="847" t="s">
        <v>762</v>
      </c>
      <c r="D61" s="848"/>
      <c r="E61" s="848"/>
      <c r="F61" s="848"/>
      <c r="G61" s="849"/>
      <c r="H61" s="271" t="s">
        <v>704</v>
      </c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1"/>
    </row>
    <row r="62" spans="1:23" s="270" customFormat="1" ht="8.1" customHeight="1" x14ac:dyDescent="0.25">
      <c r="A62" s="812" t="s">
        <v>763</v>
      </c>
      <c r="B62" s="813"/>
      <c r="C62" s="847" t="s">
        <v>764</v>
      </c>
      <c r="D62" s="848"/>
      <c r="E62" s="848"/>
      <c r="F62" s="848"/>
      <c r="G62" s="849"/>
      <c r="H62" s="271" t="s">
        <v>704</v>
      </c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1"/>
    </row>
    <row r="63" spans="1:23" s="270" customFormat="1" ht="8.1" customHeight="1" x14ac:dyDescent="0.25">
      <c r="A63" s="812" t="s">
        <v>765</v>
      </c>
      <c r="B63" s="813"/>
      <c r="C63" s="847" t="s">
        <v>766</v>
      </c>
      <c r="D63" s="848"/>
      <c r="E63" s="848"/>
      <c r="F63" s="848"/>
      <c r="G63" s="849"/>
      <c r="H63" s="271" t="s">
        <v>704</v>
      </c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1"/>
    </row>
    <row r="64" spans="1:23" s="270" customFormat="1" ht="8.1" customHeight="1" x14ac:dyDescent="0.25">
      <c r="A64" s="817" t="s">
        <v>767</v>
      </c>
      <c r="B64" s="818"/>
      <c r="C64" s="867" t="s">
        <v>768</v>
      </c>
      <c r="D64" s="868"/>
      <c r="E64" s="868"/>
      <c r="F64" s="868"/>
      <c r="G64" s="869"/>
      <c r="H64" s="274" t="s">
        <v>704</v>
      </c>
      <c r="I64" s="275">
        <f>34.218+1.111</f>
        <v>35.329000000000001</v>
      </c>
      <c r="J64" s="275">
        <v>6.444</v>
      </c>
      <c r="K64" s="275">
        <v>6.6159999999999997</v>
      </c>
      <c r="L64" s="275">
        <f>6.616*Ф17!E15</f>
        <v>6.893872</v>
      </c>
      <c r="M64" s="275"/>
      <c r="N64" s="275">
        <f>6.616*Ф17!E15*Ф17!F15</f>
        <v>7.1903084959999992</v>
      </c>
      <c r="O64" s="275"/>
      <c r="P64" s="275">
        <f>6.616*Ф17!E15*Ф17!F15*Ф17!G15</f>
        <v>7.485111144335999</v>
      </c>
      <c r="Q64" s="275"/>
      <c r="R64" s="275">
        <f>6.616*Ф17!E15*Ф17!F15*Ф17!G15*Ф17!H15</f>
        <v>7.792000701253774</v>
      </c>
      <c r="S64" s="275"/>
      <c r="T64" s="275">
        <f>6.616*Ф17!E15*Ф17!F15*Ф17!G15*Ф17!H15*Ф17!I15</f>
        <v>8.111472730005179</v>
      </c>
      <c r="U64" s="275"/>
      <c r="V64" s="276">
        <f>L64+N64+P64+R64+T64</f>
        <v>37.472765071594949</v>
      </c>
      <c r="W64" s="276">
        <f>M64+O64+S64</f>
        <v>0</v>
      </c>
    </row>
    <row r="65" spans="1:23" s="270" customFormat="1" ht="8.1" customHeight="1" x14ac:dyDescent="0.25">
      <c r="A65" s="817" t="s">
        <v>769</v>
      </c>
      <c r="B65" s="818"/>
      <c r="C65" s="819" t="s">
        <v>770</v>
      </c>
      <c r="D65" s="820"/>
      <c r="E65" s="820"/>
      <c r="F65" s="820"/>
      <c r="G65" s="821"/>
      <c r="H65" s="274" t="s">
        <v>704</v>
      </c>
      <c r="I65" s="275">
        <f>12.224+3.651+1.8</f>
        <v>17.675000000000001</v>
      </c>
      <c r="J65" s="275">
        <f>12.33+3.748+2</f>
        <v>18.077999999999999</v>
      </c>
      <c r="K65" s="275">
        <f>12.658+3.748</f>
        <v>16.405999999999999</v>
      </c>
      <c r="L65" s="275">
        <f>(12.658+3.748)*Ф17!E15</f>
        <v>17.095051999999999</v>
      </c>
      <c r="M65" s="275"/>
      <c r="N65" s="275">
        <f>(12.658+3.748)*Ф17!E15*Ф17!F15</f>
        <v>17.830139235999997</v>
      </c>
      <c r="O65" s="275"/>
      <c r="P65" s="275">
        <f>(12.658+3.748)*Ф17!E15*Ф17!F15*Ф17!G15</f>
        <v>18.561174944675997</v>
      </c>
      <c r="Q65" s="275"/>
      <c r="R65" s="275">
        <f>(12.658+3.748)*Ф17!E15*Ф17!F15*Ф17!G15*Ф17!H15</f>
        <v>19.322183117407711</v>
      </c>
      <c r="S65" s="275"/>
      <c r="T65" s="275">
        <f>(12.658+3.748)*Ф17!E15*Ф17!F15*Ф17!G15*Ф17!H15*Ф17!I15</f>
        <v>20.114392625221427</v>
      </c>
      <c r="U65" s="275"/>
      <c r="V65" s="276">
        <f t="shared" ref="V65:V75" si="21">L65+N65+P65+R65+T65</f>
        <v>92.922941923305132</v>
      </c>
      <c r="W65" s="276">
        <f>M65+O65+S65</f>
        <v>0</v>
      </c>
    </row>
    <row r="66" spans="1:23" s="270" customFormat="1" ht="8.1" customHeight="1" x14ac:dyDescent="0.25">
      <c r="A66" s="817" t="s">
        <v>771</v>
      </c>
      <c r="B66" s="818"/>
      <c r="C66" s="819" t="s">
        <v>772</v>
      </c>
      <c r="D66" s="820"/>
      <c r="E66" s="820"/>
      <c r="F66" s="820"/>
      <c r="G66" s="821"/>
      <c r="H66" s="274" t="s">
        <v>704</v>
      </c>
      <c r="I66" s="275">
        <v>1.8480000000000001</v>
      </c>
      <c r="J66" s="275">
        <v>1.3660000000000001</v>
      </c>
      <c r="K66" s="275">
        <v>5.2930000000000001</v>
      </c>
      <c r="L66" s="275">
        <f>5.293*Ф17!E15</f>
        <v>5.5153060000000007</v>
      </c>
      <c r="M66" s="275"/>
      <c r="N66" s="275">
        <f>5.293*Ф17!E15*Ф17!F15</f>
        <v>5.7524641580000004</v>
      </c>
      <c r="O66" s="275"/>
      <c r="P66" s="275">
        <f>5.293*Ф17!E15*Ф17!F15*Ф17!G15</f>
        <v>5.9883151884780004</v>
      </c>
      <c r="Q66" s="275"/>
      <c r="R66" s="275">
        <f>5.293*Ф17!E15*Ф17!F15*Ф17!G15*Ф17!H15</f>
        <v>6.2338361112055978</v>
      </c>
      <c r="S66" s="275"/>
      <c r="T66" s="275">
        <f>5.293*Ф17!E15*Ф17!F15*Ф17!G15*Ф17!H15*Ф17!I15</f>
        <v>6.489423391765027</v>
      </c>
      <c r="U66" s="275"/>
      <c r="V66" s="276">
        <f t="shared" si="21"/>
        <v>29.979344849448626</v>
      </c>
      <c r="W66" s="276">
        <f>M66+O66+S66</f>
        <v>0</v>
      </c>
    </row>
    <row r="67" spans="1:23" s="270" customFormat="1" ht="8.1" customHeight="1" x14ac:dyDescent="0.25">
      <c r="A67" s="817" t="s">
        <v>773</v>
      </c>
      <c r="B67" s="818"/>
      <c r="C67" s="819" t="s">
        <v>774</v>
      </c>
      <c r="D67" s="820"/>
      <c r="E67" s="820"/>
      <c r="F67" s="820"/>
      <c r="G67" s="821"/>
      <c r="H67" s="274" t="s">
        <v>704</v>
      </c>
      <c r="I67" s="275">
        <f t="shared" ref="I67:K67" si="22">I69+I68</f>
        <v>0.14500000000000002</v>
      </c>
      <c r="J67" s="275">
        <f t="shared" si="22"/>
        <v>0.26900000000000002</v>
      </c>
      <c r="K67" s="275">
        <f t="shared" si="22"/>
        <v>0.26900000000000002</v>
      </c>
      <c r="L67" s="275">
        <f t="shared" ref="L67" si="23">L69+L68</f>
        <v>0.28029799999999999</v>
      </c>
      <c r="M67" s="275"/>
      <c r="N67" s="275">
        <f t="shared" ref="N67" si="24">N69+N68</f>
        <v>0.29235081400000001</v>
      </c>
      <c r="O67" s="275"/>
      <c r="P67" s="275">
        <f t="shared" ref="P67" si="25">P69+P68</f>
        <v>0.304337197374</v>
      </c>
      <c r="Q67" s="275"/>
      <c r="R67" s="275">
        <f t="shared" ref="R67" si="26">R69+R68</f>
        <v>0.31681502246633397</v>
      </c>
      <c r="S67" s="275"/>
      <c r="T67" s="275">
        <f t="shared" ref="T67" si="27">T69+T68</f>
        <v>0.32980443838745366</v>
      </c>
      <c r="U67" s="275"/>
      <c r="V67" s="276">
        <f t="shared" si="21"/>
        <v>1.5236054722277876</v>
      </c>
      <c r="W67" s="275">
        <f t="shared" ref="W67" si="28">W69+W68</f>
        <v>0</v>
      </c>
    </row>
    <row r="68" spans="1:23" s="270" customFormat="1" ht="8.1" customHeight="1" x14ac:dyDescent="0.25">
      <c r="A68" s="817" t="s">
        <v>775</v>
      </c>
      <c r="B68" s="818"/>
      <c r="C68" s="867" t="s">
        <v>776</v>
      </c>
      <c r="D68" s="868"/>
      <c r="E68" s="868"/>
      <c r="F68" s="868"/>
      <c r="G68" s="869"/>
      <c r="H68" s="274" t="s">
        <v>704</v>
      </c>
      <c r="I68" s="275">
        <v>9.8000000000000004E-2</v>
      </c>
      <c r="J68" s="275">
        <v>0.26700000000000002</v>
      </c>
      <c r="K68" s="275">
        <v>0.26700000000000002</v>
      </c>
      <c r="L68" s="275">
        <f>0.267*Ф17!E15</f>
        <v>0.27821400000000002</v>
      </c>
      <c r="M68" s="275"/>
      <c r="N68" s="275">
        <f>0.267*Ф17!E15*Ф17!F15</f>
        <v>0.29017720200000002</v>
      </c>
      <c r="O68" s="275"/>
      <c r="P68" s="275">
        <f>0.267*Ф17!E15*Ф17!F15*Ф17!G15</f>
        <v>0.30207446728199999</v>
      </c>
      <c r="Q68" s="275"/>
      <c r="R68" s="275">
        <f>0.267*Ф17!E15*Ф17!F15*Ф17!G15*Ф17!H15</f>
        <v>0.31445952044056197</v>
      </c>
      <c r="S68" s="275"/>
      <c r="T68" s="275">
        <f>0.267*Ф17!E15*Ф17!F15*Ф17!G15*Ф17!H15*Ф17!I15</f>
        <v>0.32735236077862501</v>
      </c>
      <c r="U68" s="275"/>
      <c r="V68" s="276">
        <f t="shared" si="21"/>
        <v>1.5122775505011872</v>
      </c>
      <c r="W68" s="276">
        <f>M68+O68+S68</f>
        <v>0</v>
      </c>
    </row>
    <row r="69" spans="1:23" s="270" customFormat="1" ht="8.1" customHeight="1" x14ac:dyDescent="0.25">
      <c r="A69" s="817" t="s">
        <v>777</v>
      </c>
      <c r="B69" s="818"/>
      <c r="C69" s="867" t="s">
        <v>778</v>
      </c>
      <c r="D69" s="868"/>
      <c r="E69" s="868"/>
      <c r="F69" s="868"/>
      <c r="G69" s="869"/>
      <c r="H69" s="274" t="s">
        <v>704</v>
      </c>
      <c r="I69" s="275">
        <v>4.7E-2</v>
      </c>
      <c r="J69" s="275">
        <v>2E-3</v>
      </c>
      <c r="K69" s="275">
        <v>2E-3</v>
      </c>
      <c r="L69" s="275">
        <f>0.002*Ф17!E15</f>
        <v>2.0839999999999999E-3</v>
      </c>
      <c r="M69" s="275"/>
      <c r="N69" s="275">
        <f>0.002*Ф17!E15*Ф17!F15</f>
        <v>2.1736119999999997E-3</v>
      </c>
      <c r="O69" s="275"/>
      <c r="P69" s="275">
        <f>0.002*Ф17!E15*Ф17!F15*Ф17!G15</f>
        <v>2.2627300919999993E-3</v>
      </c>
      <c r="Q69" s="275"/>
      <c r="R69" s="275">
        <f>0.002*Ф17!E15*Ф17!F15*Ф17!G15*Ф17!H15</f>
        <v>2.3555020257719993E-3</v>
      </c>
      <c r="S69" s="275"/>
      <c r="T69" s="275">
        <f>0.002*Ф17!E15*Ф17!F15*Ф17!G15*Ф17!H15*Ф17!I15</f>
        <v>2.4520776088286511E-3</v>
      </c>
      <c r="U69" s="275"/>
      <c r="V69" s="276">
        <f t="shared" si="21"/>
        <v>1.1327921726600649E-2</v>
      </c>
      <c r="W69" s="276">
        <f>M69+O69+S69</f>
        <v>0</v>
      </c>
    </row>
    <row r="70" spans="1:23" s="270" customFormat="1" ht="8.1" customHeight="1" x14ac:dyDescent="0.25">
      <c r="A70" s="817" t="s">
        <v>779</v>
      </c>
      <c r="B70" s="818"/>
      <c r="C70" s="819" t="s">
        <v>780</v>
      </c>
      <c r="D70" s="820"/>
      <c r="E70" s="820"/>
      <c r="F70" s="820"/>
      <c r="G70" s="821"/>
      <c r="H70" s="274" t="s">
        <v>704</v>
      </c>
      <c r="I70" s="275">
        <f t="shared" ref="I70:K70" si="29">SUM(I71:I73)</f>
        <v>25.288</v>
      </c>
      <c r="J70" s="275">
        <f t="shared" si="29"/>
        <v>24.344000000000001</v>
      </c>
      <c r="K70" s="275">
        <f t="shared" si="29"/>
        <v>24.536999999999999</v>
      </c>
      <c r="L70" s="275">
        <f t="shared" ref="L70" si="30">SUM(L71:L73)</f>
        <v>25.567554000000001</v>
      </c>
      <c r="M70" s="275"/>
      <c r="N70" s="275">
        <f t="shared" ref="N70" si="31">SUM(N71:N73)</f>
        <v>26.666958822000002</v>
      </c>
      <c r="O70" s="275"/>
      <c r="P70" s="275">
        <f t="shared" ref="P70" si="32">SUM(P71:P73)</f>
        <v>27.760304133702</v>
      </c>
      <c r="Q70" s="275"/>
      <c r="R70" s="275">
        <f t="shared" ref="R70" si="33">SUM(R71:R73)</f>
        <v>28.898476603183784</v>
      </c>
      <c r="S70" s="275"/>
      <c r="T70" s="275">
        <f t="shared" ref="T70" si="34">SUM(T71:T73)</f>
        <v>30.083314143914315</v>
      </c>
      <c r="U70" s="275"/>
      <c r="V70" s="276">
        <f t="shared" si="21"/>
        <v>138.9766077028001</v>
      </c>
      <c r="W70" s="275">
        <f t="shared" ref="W70" si="35">SUM(W71:W73)</f>
        <v>0</v>
      </c>
    </row>
    <row r="71" spans="1:23" s="270" customFormat="1" ht="8.1" customHeight="1" x14ac:dyDescent="0.25">
      <c r="A71" s="817" t="s">
        <v>781</v>
      </c>
      <c r="B71" s="818"/>
      <c r="C71" s="867" t="s">
        <v>782</v>
      </c>
      <c r="D71" s="868"/>
      <c r="E71" s="868"/>
      <c r="F71" s="868"/>
      <c r="G71" s="869"/>
      <c r="H71" s="274" t="s">
        <v>704</v>
      </c>
      <c r="I71" s="275">
        <f>0.042+0.339+0.159+2.064+0.016</f>
        <v>2.62</v>
      </c>
      <c r="J71" s="275">
        <f>0.021+7.209</f>
        <v>7.2299999999999995</v>
      </c>
      <c r="K71" s="275">
        <f>7.401+0.022</f>
        <v>7.423</v>
      </c>
      <c r="L71" s="275">
        <f>(7.401+0.022)*Ф17!E15</f>
        <v>7.7347660000000005</v>
      </c>
      <c r="M71" s="275"/>
      <c r="N71" s="275">
        <f>(7.401+0.022)*Ф17!E15*Ф17!F15</f>
        <v>8.0673609380000002</v>
      </c>
      <c r="O71" s="275"/>
      <c r="P71" s="275">
        <f>(7.401+0.022)*Ф17!E15*Ф17!F15*Ф17!G15</f>
        <v>8.3981227364579993</v>
      </c>
      <c r="Q71" s="275"/>
      <c r="R71" s="275">
        <f>(7.401+0.022)*Ф17!E15*Ф17!F15*Ф17!G15*Ф17!H15</f>
        <v>8.742445768652777</v>
      </c>
      <c r="S71" s="275"/>
      <c r="T71" s="275">
        <f>(7.401+0.022)*Ф17!E15*Ф17!F15*Ф17!G15*Ф17!H15*Ф17!I15</f>
        <v>9.10088604516754</v>
      </c>
      <c r="U71" s="275"/>
      <c r="V71" s="276">
        <f t="shared" si="21"/>
        <v>42.043581488278321</v>
      </c>
      <c r="W71" s="276">
        <f>M71+O71+S71</f>
        <v>0</v>
      </c>
    </row>
    <row r="72" spans="1:23" s="270" customFormat="1" ht="8.1" customHeight="1" x14ac:dyDescent="0.25">
      <c r="A72" s="817" t="s">
        <v>783</v>
      </c>
      <c r="B72" s="818"/>
      <c r="C72" s="867" t="s">
        <v>784</v>
      </c>
      <c r="D72" s="868"/>
      <c r="E72" s="868"/>
      <c r="F72" s="868"/>
      <c r="G72" s="869"/>
      <c r="H72" s="274" t="s">
        <v>704</v>
      </c>
      <c r="I72" s="275">
        <v>21.632999999999999</v>
      </c>
      <c r="J72" s="275">
        <v>17.096</v>
      </c>
      <c r="K72" s="275">
        <v>17.096</v>
      </c>
      <c r="L72" s="275">
        <f>17.096*Ф17!E15</f>
        <v>17.814032000000001</v>
      </c>
      <c r="M72" s="275"/>
      <c r="N72" s="275">
        <f>17.096*Ф17!E15*Ф17!F15</f>
        <v>18.580035376000001</v>
      </c>
      <c r="O72" s="275"/>
      <c r="P72" s="275">
        <f>17.096*Ф17!E15*Ф17!F15*Ф17!G15</f>
        <v>19.341816826416</v>
      </c>
      <c r="Q72" s="275"/>
      <c r="R72" s="275">
        <f>17.096*Ф17!E15*Ф17!F15*Ф17!G15*Ф17!H15</f>
        <v>20.134831316299056</v>
      </c>
      <c r="S72" s="275"/>
      <c r="T72" s="275">
        <f>17.096*Ф17!E15*Ф17!F15*Ф17!G15*Ф17!H15*Ф17!I15</f>
        <v>20.960359400267315</v>
      </c>
      <c r="U72" s="275"/>
      <c r="V72" s="276">
        <f t="shared" si="21"/>
        <v>96.831074918982381</v>
      </c>
      <c r="W72" s="276">
        <f>M72+O72+S72</f>
        <v>0</v>
      </c>
    </row>
    <row r="73" spans="1:23" s="270" customFormat="1" ht="9" thickBot="1" x14ac:dyDescent="0.3">
      <c r="A73" s="870" t="s">
        <v>785</v>
      </c>
      <c r="B73" s="871"/>
      <c r="C73" s="872" t="s">
        <v>786</v>
      </c>
      <c r="D73" s="873"/>
      <c r="E73" s="873"/>
      <c r="F73" s="873"/>
      <c r="G73" s="874"/>
      <c r="H73" s="282" t="s">
        <v>704</v>
      </c>
      <c r="I73" s="283">
        <f>0.01+0.966+0.059</f>
        <v>1.0349999999999999</v>
      </c>
      <c r="J73" s="283">
        <f>0.007+0.011</f>
        <v>1.7999999999999999E-2</v>
      </c>
      <c r="K73" s="283">
        <f>0.011+0.007</f>
        <v>1.7999999999999999E-2</v>
      </c>
      <c r="L73" s="283">
        <f>(0.011+0.007)*Ф17!E15</f>
        <v>1.8755999999999998E-2</v>
      </c>
      <c r="M73" s="283"/>
      <c r="N73" s="283">
        <f>(0.011+0.007)*Ф17!E15*Ф17!F15</f>
        <v>1.9562507999999996E-2</v>
      </c>
      <c r="O73" s="283"/>
      <c r="P73" s="283">
        <f>(0.011+0.007)*Ф17!E15*Ф17!F15*Ф17!G15</f>
        <v>2.0364570827999993E-2</v>
      </c>
      <c r="Q73" s="283"/>
      <c r="R73" s="283">
        <f>(0.011+0.007)*Ф17!E15*Ф17!F15*Ф17!G15*Ф17!H15</f>
        <v>2.1199518231947993E-2</v>
      </c>
      <c r="S73" s="283"/>
      <c r="T73" s="283">
        <f>(0.011+0.007)*Ф17!E15*Ф17!F15*Ф17!G15*Ф17!H15*Ф17!I15</f>
        <v>2.206869847945786E-2</v>
      </c>
      <c r="U73" s="283"/>
      <c r="V73" s="276">
        <f>L73+N73+P73+R73+T73</f>
        <v>0.10195129553940584</v>
      </c>
      <c r="W73" s="276">
        <f>M73+O73+S73</f>
        <v>0</v>
      </c>
    </row>
    <row r="74" spans="1:23" s="270" customFormat="1" ht="9.75" customHeight="1" x14ac:dyDescent="0.25">
      <c r="A74" s="831" t="s">
        <v>787</v>
      </c>
      <c r="B74" s="832"/>
      <c r="C74" s="875" t="s">
        <v>788</v>
      </c>
      <c r="D74" s="876"/>
      <c r="E74" s="876"/>
      <c r="F74" s="876"/>
      <c r="G74" s="877"/>
      <c r="H74" s="267" t="s">
        <v>704</v>
      </c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7"/>
    </row>
    <row r="75" spans="1:23" s="270" customFormat="1" ht="8.1" customHeight="1" x14ac:dyDescent="0.25">
      <c r="A75" s="817" t="s">
        <v>789</v>
      </c>
      <c r="B75" s="818"/>
      <c r="C75" s="867" t="s">
        <v>790</v>
      </c>
      <c r="D75" s="868"/>
      <c r="E75" s="868"/>
      <c r="F75" s="868"/>
      <c r="G75" s="869"/>
      <c r="H75" s="274" t="s">
        <v>704</v>
      </c>
      <c r="I75" s="275">
        <v>38</v>
      </c>
      <c r="J75" s="275">
        <v>19.777000000000001</v>
      </c>
      <c r="K75" s="275">
        <v>20.303000000000001</v>
      </c>
      <c r="L75" s="275">
        <f>20.303*Ф17!E15</f>
        <v>21.155726000000001</v>
      </c>
      <c r="M75" s="275"/>
      <c r="N75" s="275">
        <f>20.303*Ф17!E15*Ф17!F15</f>
        <v>22.065422217999998</v>
      </c>
      <c r="O75" s="275"/>
      <c r="P75" s="275">
        <f>20.303*Ф17!E15*Ф17!F15*Ф17!G15</f>
        <v>22.970104528937998</v>
      </c>
      <c r="Q75" s="275"/>
      <c r="R75" s="275">
        <f>20.303*Ф17!E15*Ф17!F15*Ф17!G15*Ф17!H15</f>
        <v>23.911878814624455</v>
      </c>
      <c r="S75" s="275"/>
      <c r="T75" s="275">
        <f>20.303*Ф17!E15*Ф17!F15*Ф17!G15*Ф17!H15*Ф17!I15</f>
        <v>24.892265846024056</v>
      </c>
      <c r="U75" s="275"/>
      <c r="V75" s="276">
        <f t="shared" si="21"/>
        <v>114.99539740758651</v>
      </c>
      <c r="W75" s="276">
        <f>M75+O75+S75</f>
        <v>0</v>
      </c>
    </row>
    <row r="76" spans="1:23" s="270" customFormat="1" ht="8.1" customHeight="1" x14ac:dyDescent="0.25">
      <c r="A76" s="817" t="s">
        <v>791</v>
      </c>
      <c r="B76" s="818"/>
      <c r="C76" s="867" t="s">
        <v>792</v>
      </c>
      <c r="D76" s="868"/>
      <c r="E76" s="868"/>
      <c r="F76" s="868"/>
      <c r="G76" s="869"/>
      <c r="H76" s="274" t="s">
        <v>704</v>
      </c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4"/>
    </row>
    <row r="77" spans="1:23" s="270" customFormat="1" ht="9" thickBot="1" x14ac:dyDescent="0.3">
      <c r="A77" s="870" t="s">
        <v>793</v>
      </c>
      <c r="B77" s="871"/>
      <c r="C77" s="872" t="s">
        <v>794</v>
      </c>
      <c r="D77" s="873"/>
      <c r="E77" s="873"/>
      <c r="F77" s="873"/>
      <c r="G77" s="874"/>
      <c r="H77" s="284" t="s">
        <v>704</v>
      </c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4"/>
    </row>
    <row r="78" spans="1:23" s="270" customFormat="1" ht="9" customHeight="1" x14ac:dyDescent="0.25">
      <c r="A78" s="831" t="s">
        <v>795</v>
      </c>
      <c r="B78" s="832"/>
      <c r="C78" s="833" t="s">
        <v>796</v>
      </c>
      <c r="D78" s="834"/>
      <c r="E78" s="834"/>
      <c r="F78" s="834"/>
      <c r="G78" s="835"/>
      <c r="H78" s="267" t="s">
        <v>704</v>
      </c>
      <c r="I78" s="268">
        <f>I84+I86+I92</f>
        <v>27.474999999999994</v>
      </c>
      <c r="J78" s="269">
        <f>J84+J86+J92</f>
        <v>37.657666666666685</v>
      </c>
      <c r="K78" s="269">
        <f t="shared" ref="K78:L78" si="36">K84+K86+K92</f>
        <v>9.6622400000000113</v>
      </c>
      <c r="L78" s="269">
        <f t="shared" si="36"/>
        <v>6.5680540800000244</v>
      </c>
      <c r="M78" s="268">
        <f>M84+M86+M92</f>
        <v>0</v>
      </c>
      <c r="N78" s="269">
        <f t="shared" ref="N78" si="37">N84+N86+N92</f>
        <v>6.0009804054400178</v>
      </c>
      <c r="O78" s="269">
        <f>O84+O86+O92</f>
        <v>0</v>
      </c>
      <c r="P78" s="269">
        <f t="shared" ref="P78" si="38">P84+P86+P92</f>
        <v>5.4315206020630455</v>
      </c>
      <c r="Q78" s="269">
        <f t="shared" ref="Q78:R78" si="39">Q84+Q86+Q92</f>
        <v>0</v>
      </c>
      <c r="R78" s="269">
        <f t="shared" si="39"/>
        <v>4.879712946747631</v>
      </c>
      <c r="S78" s="269">
        <f t="shared" ref="S78:W78" si="40">S84+S86+S92</f>
        <v>0</v>
      </c>
      <c r="T78" s="269">
        <f t="shared" si="40"/>
        <v>4.3462811775642649</v>
      </c>
      <c r="U78" s="269">
        <f t="shared" ref="U78" si="41">U84+U86+U92</f>
        <v>0</v>
      </c>
      <c r="V78" s="269">
        <f>V84+V86+V92</f>
        <v>27.226549211814984</v>
      </c>
      <c r="W78" s="269">
        <f t="shared" si="40"/>
        <v>0</v>
      </c>
    </row>
    <row r="79" spans="1:23" s="270" customFormat="1" ht="8.1" customHeight="1" x14ac:dyDescent="0.25">
      <c r="A79" s="812" t="s">
        <v>797</v>
      </c>
      <c r="B79" s="813"/>
      <c r="C79" s="814" t="s">
        <v>705</v>
      </c>
      <c r="D79" s="815"/>
      <c r="E79" s="815"/>
      <c r="F79" s="815"/>
      <c r="G79" s="816"/>
      <c r="H79" s="271" t="s">
        <v>704</v>
      </c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1"/>
    </row>
    <row r="80" spans="1:23" s="270" customFormat="1" ht="16.5" customHeight="1" x14ac:dyDescent="0.25">
      <c r="A80" s="812" t="s">
        <v>798</v>
      </c>
      <c r="B80" s="813"/>
      <c r="C80" s="847" t="s">
        <v>706</v>
      </c>
      <c r="D80" s="848"/>
      <c r="E80" s="848"/>
      <c r="F80" s="848"/>
      <c r="G80" s="849"/>
      <c r="H80" s="271" t="s">
        <v>704</v>
      </c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1"/>
    </row>
    <row r="81" spans="1:23" s="270" customFormat="1" ht="16.5" customHeight="1" x14ac:dyDescent="0.25">
      <c r="A81" s="812" t="s">
        <v>799</v>
      </c>
      <c r="B81" s="813"/>
      <c r="C81" s="847" t="s">
        <v>707</v>
      </c>
      <c r="D81" s="848"/>
      <c r="E81" s="848"/>
      <c r="F81" s="848"/>
      <c r="G81" s="849"/>
      <c r="H81" s="271" t="s">
        <v>704</v>
      </c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1"/>
    </row>
    <row r="82" spans="1:23" s="270" customFormat="1" ht="16.5" customHeight="1" x14ac:dyDescent="0.25">
      <c r="A82" s="812" t="s">
        <v>800</v>
      </c>
      <c r="B82" s="813"/>
      <c r="C82" s="847" t="s">
        <v>708</v>
      </c>
      <c r="D82" s="848"/>
      <c r="E82" s="848"/>
      <c r="F82" s="848"/>
      <c r="G82" s="849"/>
      <c r="H82" s="271" t="s">
        <v>704</v>
      </c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1"/>
    </row>
    <row r="83" spans="1:23" s="270" customFormat="1" ht="8.1" customHeight="1" x14ac:dyDescent="0.25">
      <c r="A83" s="812" t="s">
        <v>801</v>
      </c>
      <c r="B83" s="813"/>
      <c r="C83" s="814" t="s">
        <v>709</v>
      </c>
      <c r="D83" s="815"/>
      <c r="E83" s="815"/>
      <c r="F83" s="815"/>
      <c r="G83" s="816"/>
      <c r="H83" s="271" t="s">
        <v>704</v>
      </c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1"/>
    </row>
    <row r="84" spans="1:23" s="270" customFormat="1" ht="8.1" customHeight="1" x14ac:dyDescent="0.25">
      <c r="A84" s="817" t="s">
        <v>802</v>
      </c>
      <c r="B84" s="818"/>
      <c r="C84" s="819" t="s">
        <v>710</v>
      </c>
      <c r="D84" s="820"/>
      <c r="E84" s="820"/>
      <c r="F84" s="820"/>
      <c r="G84" s="821"/>
      <c r="H84" s="274" t="s">
        <v>704</v>
      </c>
      <c r="I84" s="275">
        <f>I26-I41</f>
        <v>5.8859999999999957</v>
      </c>
      <c r="J84" s="275">
        <f t="shared" ref="J84:K84" si="42">J26-J41</f>
        <v>11.598000000000013</v>
      </c>
      <c r="K84" s="276">
        <f t="shared" si="42"/>
        <v>9.6622400000000113</v>
      </c>
      <c r="L84" s="276">
        <f t="shared" ref="L84" si="43">L26-L41</f>
        <v>10.068054080000024</v>
      </c>
      <c r="M84" s="275"/>
      <c r="N84" s="276">
        <f t="shared" ref="N84" si="44">N26-N41</f>
        <v>10.500980405440018</v>
      </c>
      <c r="O84" s="275"/>
      <c r="P84" s="276">
        <f t="shared" ref="P84" si="45">P26-P41</f>
        <v>10.931520602063046</v>
      </c>
      <c r="Q84" s="276"/>
      <c r="R84" s="276">
        <f t="shared" ref="R84" si="46">R26-R41</f>
        <v>11.379712946747631</v>
      </c>
      <c r="S84" s="276"/>
      <c r="T84" s="276">
        <f t="shared" ref="T84" si="47">T26-T41</f>
        <v>11.846281177564265</v>
      </c>
      <c r="U84" s="276"/>
      <c r="V84" s="276">
        <f t="shared" ref="V84:V86" si="48">L84+N84+P84+R84+T84</f>
        <v>54.726549211814984</v>
      </c>
      <c r="W84" s="276">
        <f t="shared" ref="W84" si="49">W26-W41</f>
        <v>0</v>
      </c>
    </row>
    <row r="85" spans="1:23" s="270" customFormat="1" ht="8.1" customHeight="1" x14ac:dyDescent="0.25">
      <c r="A85" s="812" t="s">
        <v>803</v>
      </c>
      <c r="B85" s="813"/>
      <c r="C85" s="814" t="s">
        <v>712</v>
      </c>
      <c r="D85" s="815"/>
      <c r="E85" s="815"/>
      <c r="F85" s="815"/>
      <c r="G85" s="816"/>
      <c r="H85" s="271" t="s">
        <v>704</v>
      </c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86"/>
    </row>
    <row r="86" spans="1:23" s="270" customFormat="1" ht="8.1" customHeight="1" x14ac:dyDescent="0.25">
      <c r="A86" s="817" t="s">
        <v>804</v>
      </c>
      <c r="B86" s="818"/>
      <c r="C86" s="819" t="s">
        <v>714</v>
      </c>
      <c r="D86" s="820"/>
      <c r="E86" s="820"/>
      <c r="F86" s="820"/>
      <c r="G86" s="821"/>
      <c r="H86" s="274" t="s">
        <v>704</v>
      </c>
      <c r="I86" s="275">
        <f>I28-I43</f>
        <v>9.5</v>
      </c>
      <c r="J86" s="276">
        <f>J28-J43</f>
        <v>18.259666666666668</v>
      </c>
      <c r="K86" s="275">
        <f t="shared" ref="K86:L86" si="50">K28-K43</f>
        <v>0</v>
      </c>
      <c r="L86" s="275">
        <f t="shared" si="50"/>
        <v>-3.5</v>
      </c>
      <c r="M86" s="275"/>
      <c r="N86" s="275">
        <f t="shared" ref="N86" si="51">N28-N43</f>
        <v>-4.5</v>
      </c>
      <c r="O86" s="276"/>
      <c r="P86" s="275">
        <f t="shared" ref="P86" si="52">P28-P43</f>
        <v>-5.5</v>
      </c>
      <c r="Q86" s="275"/>
      <c r="R86" s="275">
        <f t="shared" ref="R86" si="53">R28-R43</f>
        <v>-6.5</v>
      </c>
      <c r="S86" s="275"/>
      <c r="T86" s="275">
        <f t="shared" ref="T86" si="54">T28-T43</f>
        <v>-7.5</v>
      </c>
      <c r="U86" s="275"/>
      <c r="V86" s="276">
        <f t="shared" si="48"/>
        <v>-27.5</v>
      </c>
      <c r="W86" s="276">
        <f t="shared" ref="W86" si="55">W28-W43</f>
        <v>0</v>
      </c>
    </row>
    <row r="87" spans="1:23" s="270" customFormat="1" ht="8.1" customHeight="1" x14ac:dyDescent="0.25">
      <c r="A87" s="812" t="s">
        <v>805</v>
      </c>
      <c r="B87" s="813"/>
      <c r="C87" s="814" t="s">
        <v>715</v>
      </c>
      <c r="D87" s="815"/>
      <c r="E87" s="815"/>
      <c r="F87" s="815"/>
      <c r="G87" s="816"/>
      <c r="H87" s="271" t="s">
        <v>704</v>
      </c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86"/>
    </row>
    <row r="88" spans="1:23" s="270" customFormat="1" ht="8.1" customHeight="1" x14ac:dyDescent="0.25">
      <c r="A88" s="812" t="s">
        <v>806</v>
      </c>
      <c r="B88" s="813"/>
      <c r="C88" s="814" t="s">
        <v>717</v>
      </c>
      <c r="D88" s="815"/>
      <c r="E88" s="815"/>
      <c r="F88" s="815"/>
      <c r="G88" s="816"/>
      <c r="H88" s="271" t="s">
        <v>704</v>
      </c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86"/>
    </row>
    <row r="89" spans="1:23" s="270" customFormat="1" ht="16.5" customHeight="1" x14ac:dyDescent="0.25">
      <c r="A89" s="812" t="s">
        <v>807</v>
      </c>
      <c r="B89" s="813"/>
      <c r="C89" s="814" t="s">
        <v>719</v>
      </c>
      <c r="D89" s="815"/>
      <c r="E89" s="815"/>
      <c r="F89" s="815"/>
      <c r="G89" s="816"/>
      <c r="H89" s="271" t="s">
        <v>704</v>
      </c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86"/>
    </row>
    <row r="90" spans="1:23" s="270" customFormat="1" ht="8.1" customHeight="1" x14ac:dyDescent="0.25">
      <c r="A90" s="812" t="s">
        <v>808</v>
      </c>
      <c r="B90" s="813"/>
      <c r="C90" s="847" t="s">
        <v>721</v>
      </c>
      <c r="D90" s="848"/>
      <c r="E90" s="848"/>
      <c r="F90" s="848"/>
      <c r="G90" s="849"/>
      <c r="H90" s="271" t="s">
        <v>704</v>
      </c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86"/>
    </row>
    <row r="91" spans="1:23" s="270" customFormat="1" ht="8.1" customHeight="1" x14ac:dyDescent="0.25">
      <c r="A91" s="812" t="s">
        <v>809</v>
      </c>
      <c r="B91" s="813"/>
      <c r="C91" s="847" t="s">
        <v>723</v>
      </c>
      <c r="D91" s="848"/>
      <c r="E91" s="848"/>
      <c r="F91" s="848"/>
      <c r="G91" s="849"/>
      <c r="H91" s="271" t="s">
        <v>704</v>
      </c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1"/>
    </row>
    <row r="92" spans="1:23" s="270" customFormat="1" ht="8.1" customHeight="1" x14ac:dyDescent="0.25">
      <c r="A92" s="817" t="s">
        <v>810</v>
      </c>
      <c r="B92" s="818"/>
      <c r="C92" s="819" t="s">
        <v>725</v>
      </c>
      <c r="D92" s="820"/>
      <c r="E92" s="820"/>
      <c r="F92" s="820"/>
      <c r="G92" s="821"/>
      <c r="H92" s="274" t="s">
        <v>704</v>
      </c>
      <c r="I92" s="275">
        <f>I34-I49</f>
        <v>12.089</v>
      </c>
      <c r="J92" s="275">
        <f t="shared" ref="J92:K92" si="56">J34-J49</f>
        <v>7.8000000000000007</v>
      </c>
      <c r="K92" s="275">
        <f t="shared" si="56"/>
        <v>0</v>
      </c>
      <c r="L92" s="275">
        <f t="shared" ref="L92" si="57">L34-L49</f>
        <v>0</v>
      </c>
      <c r="M92" s="275">
        <f>M34-M49</f>
        <v>0</v>
      </c>
      <c r="N92" s="275">
        <f t="shared" ref="N92" si="58">N34-N49</f>
        <v>0</v>
      </c>
      <c r="O92" s="275">
        <f t="shared" ref="O92:W92" si="59">O34-O49</f>
        <v>0</v>
      </c>
      <c r="P92" s="275">
        <f t="shared" si="59"/>
        <v>0</v>
      </c>
      <c r="Q92" s="275">
        <f t="shared" ref="Q92:R92" si="60">Q34-Q49</f>
        <v>0</v>
      </c>
      <c r="R92" s="275">
        <f t="shared" si="60"/>
        <v>0</v>
      </c>
      <c r="S92" s="275">
        <f t="shared" si="59"/>
        <v>0</v>
      </c>
      <c r="T92" s="275">
        <f t="shared" si="59"/>
        <v>0</v>
      </c>
      <c r="U92" s="275">
        <f t="shared" ref="U92" si="61">U34-U49</f>
        <v>0</v>
      </c>
      <c r="V92" s="276">
        <f t="shared" ref="V92" si="62">L92+N92+P92+R92+T92</f>
        <v>0</v>
      </c>
      <c r="W92" s="275">
        <f t="shared" si="59"/>
        <v>0</v>
      </c>
    </row>
    <row r="93" spans="1:23" s="270" customFormat="1" x14ac:dyDescent="0.25">
      <c r="A93" s="850" t="s">
        <v>463</v>
      </c>
      <c r="B93" s="851"/>
      <c r="C93" s="852" t="s">
        <v>811</v>
      </c>
      <c r="D93" s="853"/>
      <c r="E93" s="853"/>
      <c r="F93" s="853"/>
      <c r="G93" s="854"/>
      <c r="H93" s="279" t="s">
        <v>704</v>
      </c>
      <c r="I93" s="280">
        <f>I94-I100</f>
        <v>-1.012</v>
      </c>
      <c r="J93" s="280">
        <f t="shared" ref="J93:K93" si="63">J94-J100</f>
        <v>-4.7670000000000003</v>
      </c>
      <c r="K93" s="280">
        <f t="shared" si="63"/>
        <v>0</v>
      </c>
      <c r="L93" s="280">
        <f t="shared" ref="L93" si="64">L94-L100</f>
        <v>0</v>
      </c>
      <c r="M93" s="280">
        <f>M94-M100</f>
        <v>0</v>
      </c>
      <c r="N93" s="280">
        <f t="shared" ref="N93" si="65">N94-N100</f>
        <v>0</v>
      </c>
      <c r="O93" s="280">
        <f t="shared" ref="O93:W93" si="66">O94-O100</f>
        <v>0</v>
      </c>
      <c r="P93" s="280">
        <f t="shared" si="66"/>
        <v>0</v>
      </c>
      <c r="Q93" s="280">
        <f t="shared" ref="Q93:R93" si="67">Q94-Q100</f>
        <v>0</v>
      </c>
      <c r="R93" s="280">
        <f t="shared" si="67"/>
        <v>0</v>
      </c>
      <c r="S93" s="280">
        <f t="shared" si="66"/>
        <v>0</v>
      </c>
      <c r="T93" s="280">
        <f t="shared" si="66"/>
        <v>0</v>
      </c>
      <c r="U93" s="280">
        <f t="shared" ref="U93" si="68">U94-U100</f>
        <v>0</v>
      </c>
      <c r="V93" s="280">
        <f t="shared" si="66"/>
        <v>0</v>
      </c>
      <c r="W93" s="280">
        <f t="shared" si="66"/>
        <v>0</v>
      </c>
    </row>
    <row r="94" spans="1:23" s="270" customFormat="1" ht="8.1" customHeight="1" x14ac:dyDescent="0.25">
      <c r="A94" s="817" t="s">
        <v>18</v>
      </c>
      <c r="B94" s="818"/>
      <c r="C94" s="819" t="s">
        <v>812</v>
      </c>
      <c r="D94" s="820"/>
      <c r="E94" s="820"/>
      <c r="F94" s="820"/>
      <c r="G94" s="821"/>
      <c r="H94" s="274" t="s">
        <v>704</v>
      </c>
      <c r="I94" s="275">
        <f t="shared" ref="I94:K94" si="69">SUM(I95:I99)</f>
        <v>1.7999999999999999E-2</v>
      </c>
      <c r="J94" s="275">
        <f t="shared" si="69"/>
        <v>0</v>
      </c>
      <c r="K94" s="275">
        <f t="shared" si="69"/>
        <v>0</v>
      </c>
      <c r="L94" s="275">
        <f t="shared" ref="L94" si="70">SUM(L95:L99)</f>
        <v>0</v>
      </c>
      <c r="M94" s="275"/>
      <c r="N94" s="275">
        <f t="shared" ref="N94" si="71">SUM(N95:N99)</f>
        <v>0</v>
      </c>
      <c r="O94" s="275"/>
      <c r="P94" s="275">
        <f t="shared" ref="P94" si="72">SUM(P95:P99)</f>
        <v>0</v>
      </c>
      <c r="Q94" s="275"/>
      <c r="R94" s="275">
        <f t="shared" ref="R94" si="73">SUM(R95:R99)</f>
        <v>0</v>
      </c>
      <c r="S94" s="275"/>
      <c r="T94" s="275">
        <f t="shared" ref="T94" si="74">SUM(T95:T99)</f>
        <v>0</v>
      </c>
      <c r="U94" s="275"/>
      <c r="V94" s="276">
        <f t="shared" ref="V94" si="75">L94+N94+P94+R94+T94</f>
        <v>0</v>
      </c>
      <c r="W94" s="275">
        <f t="shared" ref="W94" si="76">SUM(W95:W99)</f>
        <v>0</v>
      </c>
    </row>
    <row r="95" spans="1:23" s="270" customFormat="1" ht="8.1" customHeight="1" x14ac:dyDescent="0.25">
      <c r="A95" s="812" t="s">
        <v>267</v>
      </c>
      <c r="B95" s="813"/>
      <c r="C95" s="847" t="s">
        <v>813</v>
      </c>
      <c r="D95" s="848"/>
      <c r="E95" s="848"/>
      <c r="F95" s="848"/>
      <c r="G95" s="849"/>
      <c r="H95" s="271" t="s">
        <v>704</v>
      </c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1"/>
    </row>
    <row r="96" spans="1:23" s="270" customFormat="1" ht="8.1" customHeight="1" x14ac:dyDescent="0.25">
      <c r="A96" s="812" t="s">
        <v>268</v>
      </c>
      <c r="B96" s="813"/>
      <c r="C96" s="847" t="s">
        <v>814</v>
      </c>
      <c r="D96" s="848"/>
      <c r="E96" s="848"/>
      <c r="F96" s="848"/>
      <c r="G96" s="849"/>
      <c r="H96" s="271" t="s">
        <v>704</v>
      </c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1"/>
    </row>
    <row r="97" spans="1:23" s="270" customFormat="1" ht="8.1" customHeight="1" x14ac:dyDescent="0.25">
      <c r="A97" s="812" t="s">
        <v>269</v>
      </c>
      <c r="B97" s="813"/>
      <c r="C97" s="847" t="s">
        <v>815</v>
      </c>
      <c r="D97" s="848"/>
      <c r="E97" s="848"/>
      <c r="F97" s="848"/>
      <c r="G97" s="849"/>
      <c r="H97" s="271" t="s">
        <v>704</v>
      </c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1"/>
    </row>
    <row r="98" spans="1:23" s="270" customFormat="1" ht="8.1" customHeight="1" x14ac:dyDescent="0.25">
      <c r="A98" s="812" t="s">
        <v>816</v>
      </c>
      <c r="B98" s="813"/>
      <c r="C98" s="864" t="s">
        <v>817</v>
      </c>
      <c r="D98" s="865"/>
      <c r="E98" s="865"/>
      <c r="F98" s="865"/>
      <c r="G98" s="866"/>
      <c r="H98" s="271" t="s">
        <v>704</v>
      </c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1"/>
    </row>
    <row r="99" spans="1:23" s="270" customFormat="1" ht="8.1" customHeight="1" x14ac:dyDescent="0.25">
      <c r="A99" s="812" t="s">
        <v>270</v>
      </c>
      <c r="B99" s="813"/>
      <c r="C99" s="847" t="s">
        <v>818</v>
      </c>
      <c r="D99" s="848"/>
      <c r="E99" s="848"/>
      <c r="F99" s="848"/>
      <c r="G99" s="849"/>
      <c r="H99" s="271" t="s">
        <v>704</v>
      </c>
      <c r="I99" s="273">
        <v>1.7999999999999999E-2</v>
      </c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>
        <f>L99+N99+R99</f>
        <v>0</v>
      </c>
      <c r="W99" s="273">
        <f>M99+O99+S99</f>
        <v>0</v>
      </c>
    </row>
    <row r="100" spans="1:23" s="270" customFormat="1" ht="8.1" customHeight="1" x14ac:dyDescent="0.25">
      <c r="A100" s="817" t="s">
        <v>19</v>
      </c>
      <c r="B100" s="818"/>
      <c r="C100" s="819" t="s">
        <v>780</v>
      </c>
      <c r="D100" s="820"/>
      <c r="E100" s="820"/>
      <c r="F100" s="820"/>
      <c r="G100" s="821"/>
      <c r="H100" s="274" t="s">
        <v>704</v>
      </c>
      <c r="I100" s="275">
        <f t="shared" ref="I100:K100" si="77">SUM(I101:I105)</f>
        <v>1.03</v>
      </c>
      <c r="J100" s="275">
        <f t="shared" si="77"/>
        <v>4.7670000000000003</v>
      </c>
      <c r="K100" s="275">
        <f t="shared" si="77"/>
        <v>0</v>
      </c>
      <c r="L100" s="275">
        <f t="shared" ref="L100" si="78">SUM(L101:L105)</f>
        <v>0</v>
      </c>
      <c r="M100" s="275"/>
      <c r="N100" s="275">
        <f t="shared" ref="N100" si="79">SUM(N101:N105)</f>
        <v>0</v>
      </c>
      <c r="O100" s="275"/>
      <c r="P100" s="275">
        <f t="shared" ref="P100" si="80">SUM(P101:P105)</f>
        <v>0</v>
      </c>
      <c r="Q100" s="275"/>
      <c r="R100" s="275">
        <f t="shared" ref="R100" si="81">SUM(R101:R105)</f>
        <v>0</v>
      </c>
      <c r="S100" s="275"/>
      <c r="T100" s="275">
        <f t="shared" ref="T100" si="82">SUM(T101:T105)</f>
        <v>0</v>
      </c>
      <c r="U100" s="275"/>
      <c r="V100" s="276">
        <f t="shared" ref="V100" si="83">L100+N100+P100+R100+T100</f>
        <v>0</v>
      </c>
      <c r="W100" s="275">
        <v>0</v>
      </c>
    </row>
    <row r="101" spans="1:23" s="270" customFormat="1" ht="8.1" customHeight="1" x14ac:dyDescent="0.25">
      <c r="A101" s="812" t="s">
        <v>274</v>
      </c>
      <c r="B101" s="813"/>
      <c r="C101" s="847" t="s">
        <v>819</v>
      </c>
      <c r="D101" s="848"/>
      <c r="E101" s="848"/>
      <c r="F101" s="848"/>
      <c r="G101" s="849"/>
      <c r="H101" s="271" t="s">
        <v>704</v>
      </c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1"/>
    </row>
    <row r="102" spans="1:23" s="270" customFormat="1" ht="8.1" customHeight="1" x14ac:dyDescent="0.25">
      <c r="A102" s="812" t="s">
        <v>275</v>
      </c>
      <c r="B102" s="813"/>
      <c r="C102" s="847" t="s">
        <v>820</v>
      </c>
      <c r="D102" s="848"/>
      <c r="E102" s="848"/>
      <c r="F102" s="848"/>
      <c r="G102" s="849"/>
      <c r="H102" s="271" t="s">
        <v>704</v>
      </c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1"/>
    </row>
    <row r="103" spans="1:23" s="270" customFormat="1" ht="8.1" customHeight="1" x14ac:dyDescent="0.25">
      <c r="A103" s="812" t="s">
        <v>276</v>
      </c>
      <c r="B103" s="813"/>
      <c r="C103" s="847" t="s">
        <v>821</v>
      </c>
      <c r="D103" s="848"/>
      <c r="E103" s="848"/>
      <c r="F103" s="848"/>
      <c r="G103" s="849"/>
      <c r="H103" s="271" t="s">
        <v>704</v>
      </c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1"/>
    </row>
    <row r="104" spans="1:23" s="270" customFormat="1" ht="8.1" customHeight="1" x14ac:dyDescent="0.25">
      <c r="A104" s="812" t="s">
        <v>822</v>
      </c>
      <c r="B104" s="813"/>
      <c r="C104" s="864" t="s">
        <v>817</v>
      </c>
      <c r="D104" s="865"/>
      <c r="E104" s="865"/>
      <c r="F104" s="865"/>
      <c r="G104" s="866"/>
      <c r="H104" s="271" t="s">
        <v>704</v>
      </c>
      <c r="I104" s="273"/>
      <c r="J104" s="273">
        <v>4.7670000000000003</v>
      </c>
      <c r="K104" s="273"/>
      <c r="L104" s="273"/>
      <c r="M104" s="273"/>
      <c r="N104" s="273"/>
      <c r="O104" s="273">
        <v>4.7670000000000003</v>
      </c>
      <c r="P104" s="273"/>
      <c r="Q104" s="273"/>
      <c r="R104" s="273"/>
      <c r="S104" s="273"/>
      <c r="T104" s="273"/>
      <c r="U104" s="273"/>
      <c r="V104" s="273">
        <f>L104+N104+R104</f>
        <v>0</v>
      </c>
      <c r="W104" s="273">
        <f>M104+O104+S104</f>
        <v>4.7670000000000003</v>
      </c>
    </row>
    <row r="105" spans="1:23" s="270" customFormat="1" ht="8.1" customHeight="1" x14ac:dyDescent="0.25">
      <c r="A105" s="812" t="s">
        <v>277</v>
      </c>
      <c r="B105" s="813"/>
      <c r="C105" s="847" t="s">
        <v>823</v>
      </c>
      <c r="D105" s="848"/>
      <c r="E105" s="848"/>
      <c r="F105" s="848"/>
      <c r="G105" s="849"/>
      <c r="H105" s="271" t="s">
        <v>704</v>
      </c>
      <c r="I105" s="273">
        <v>1.03</v>
      </c>
      <c r="J105" s="273"/>
      <c r="K105" s="273"/>
      <c r="L105" s="273"/>
      <c r="M105" s="273">
        <v>1.03</v>
      </c>
      <c r="N105" s="273"/>
      <c r="O105" s="273"/>
      <c r="P105" s="273"/>
      <c r="Q105" s="273"/>
      <c r="R105" s="273"/>
      <c r="S105" s="273"/>
      <c r="T105" s="273"/>
      <c r="U105" s="273"/>
      <c r="V105" s="273">
        <f>L105+N105+R105</f>
        <v>0</v>
      </c>
      <c r="W105" s="273">
        <f>M105+O105+S105</f>
        <v>1.03</v>
      </c>
    </row>
    <row r="106" spans="1:23" s="270" customFormat="1" ht="9.75" x14ac:dyDescent="0.25">
      <c r="A106" s="850" t="s">
        <v>824</v>
      </c>
      <c r="B106" s="851"/>
      <c r="C106" s="852" t="s">
        <v>825</v>
      </c>
      <c r="D106" s="853"/>
      <c r="E106" s="853"/>
      <c r="F106" s="853"/>
      <c r="G106" s="854"/>
      <c r="H106" s="279" t="s">
        <v>704</v>
      </c>
      <c r="I106" s="287">
        <f t="shared" ref="I106:K106" si="84">I78+I93</f>
        <v>26.462999999999994</v>
      </c>
      <c r="J106" s="288">
        <f t="shared" si="84"/>
        <v>32.890666666666682</v>
      </c>
      <c r="K106" s="281">
        <f t="shared" si="84"/>
        <v>9.6622400000000113</v>
      </c>
      <c r="L106" s="281">
        <f t="shared" ref="L106" si="85">L78+L93</f>
        <v>6.5680540800000244</v>
      </c>
      <c r="M106" s="287">
        <f t="shared" ref="M106:W106" si="86">M78+M93</f>
        <v>0</v>
      </c>
      <c r="N106" s="281">
        <f t="shared" si="86"/>
        <v>6.0009804054400178</v>
      </c>
      <c r="O106" s="288">
        <f t="shared" si="86"/>
        <v>0</v>
      </c>
      <c r="P106" s="281">
        <f t="shared" si="86"/>
        <v>5.4315206020630455</v>
      </c>
      <c r="Q106" s="281">
        <f t="shared" ref="Q106:R106" si="87">Q78+Q93</f>
        <v>0</v>
      </c>
      <c r="R106" s="281">
        <f t="shared" si="87"/>
        <v>4.879712946747631</v>
      </c>
      <c r="S106" s="281">
        <f t="shared" si="86"/>
        <v>0</v>
      </c>
      <c r="T106" s="281">
        <f t="shared" si="86"/>
        <v>4.3462811775642649</v>
      </c>
      <c r="U106" s="281">
        <f t="shared" ref="U106" si="88">U78+U93</f>
        <v>0</v>
      </c>
      <c r="V106" s="281">
        <f>V78+V93</f>
        <v>27.226549211814984</v>
      </c>
      <c r="W106" s="281">
        <f t="shared" si="86"/>
        <v>0</v>
      </c>
    </row>
    <row r="107" spans="1:23" s="270" customFormat="1" ht="16.5" customHeight="1" x14ac:dyDescent="0.25">
      <c r="A107" s="812" t="s">
        <v>23</v>
      </c>
      <c r="B107" s="813"/>
      <c r="C107" s="814" t="s">
        <v>826</v>
      </c>
      <c r="D107" s="815"/>
      <c r="E107" s="815"/>
      <c r="F107" s="815"/>
      <c r="G107" s="816"/>
      <c r="H107" s="271" t="s">
        <v>704</v>
      </c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1"/>
    </row>
    <row r="108" spans="1:23" s="270" customFormat="1" ht="16.5" customHeight="1" x14ac:dyDescent="0.25">
      <c r="A108" s="812" t="s">
        <v>524</v>
      </c>
      <c r="B108" s="813"/>
      <c r="C108" s="847" t="s">
        <v>706</v>
      </c>
      <c r="D108" s="848"/>
      <c r="E108" s="848"/>
      <c r="F108" s="848"/>
      <c r="G108" s="849"/>
      <c r="H108" s="271" t="s">
        <v>704</v>
      </c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1"/>
    </row>
    <row r="109" spans="1:23" s="270" customFormat="1" ht="16.5" customHeight="1" x14ac:dyDescent="0.25">
      <c r="A109" s="812" t="s">
        <v>525</v>
      </c>
      <c r="B109" s="813"/>
      <c r="C109" s="847" t="s">
        <v>707</v>
      </c>
      <c r="D109" s="848"/>
      <c r="E109" s="848"/>
      <c r="F109" s="848"/>
      <c r="G109" s="849"/>
      <c r="H109" s="271" t="s">
        <v>704</v>
      </c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1"/>
    </row>
    <row r="110" spans="1:23" s="270" customFormat="1" ht="16.5" customHeight="1" x14ac:dyDescent="0.25">
      <c r="A110" s="812" t="s">
        <v>526</v>
      </c>
      <c r="B110" s="813"/>
      <c r="C110" s="847" t="s">
        <v>708</v>
      </c>
      <c r="D110" s="848"/>
      <c r="E110" s="848"/>
      <c r="F110" s="848"/>
      <c r="G110" s="849"/>
      <c r="H110" s="271" t="s">
        <v>704</v>
      </c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1"/>
    </row>
    <row r="111" spans="1:23" s="270" customFormat="1" ht="8.1" customHeight="1" x14ac:dyDescent="0.25">
      <c r="A111" s="812" t="s">
        <v>24</v>
      </c>
      <c r="B111" s="813"/>
      <c r="C111" s="814" t="s">
        <v>709</v>
      </c>
      <c r="D111" s="815"/>
      <c r="E111" s="815"/>
      <c r="F111" s="815"/>
      <c r="G111" s="816"/>
      <c r="H111" s="271" t="s">
        <v>704</v>
      </c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1"/>
    </row>
    <row r="112" spans="1:23" s="270" customFormat="1" ht="8.1" customHeight="1" x14ac:dyDescent="0.25">
      <c r="A112" s="817" t="s">
        <v>25</v>
      </c>
      <c r="B112" s="818"/>
      <c r="C112" s="819" t="s">
        <v>710</v>
      </c>
      <c r="D112" s="820"/>
      <c r="E112" s="820"/>
      <c r="F112" s="820"/>
      <c r="G112" s="821"/>
      <c r="H112" s="274" t="s">
        <v>704</v>
      </c>
      <c r="I112" s="275">
        <f>I84+0.016-0.271</f>
        <v>5.6309999999999958</v>
      </c>
      <c r="J112" s="275">
        <f>J84-4.367</f>
        <v>7.2310000000000132</v>
      </c>
      <c r="K112" s="276">
        <f>K84+K99</f>
        <v>9.6622400000000113</v>
      </c>
      <c r="L112" s="276">
        <f>L84+L99</f>
        <v>10.068054080000024</v>
      </c>
      <c r="M112" s="275"/>
      <c r="N112" s="276">
        <f>N84+N99</f>
        <v>10.500980405440018</v>
      </c>
      <c r="O112" s="275"/>
      <c r="P112" s="276">
        <f>P84+P99</f>
        <v>10.931520602063046</v>
      </c>
      <c r="Q112" s="276"/>
      <c r="R112" s="276">
        <f>R84+R99</f>
        <v>11.379712946747631</v>
      </c>
      <c r="S112" s="276"/>
      <c r="T112" s="276">
        <f>T84+T99</f>
        <v>11.846281177564265</v>
      </c>
      <c r="U112" s="276"/>
      <c r="V112" s="276">
        <f t="shared" ref="V112" si="89">L112+N112+P112+R112+T112</f>
        <v>54.726549211814984</v>
      </c>
      <c r="W112" s="276">
        <f t="shared" ref="W112" si="90">W84</f>
        <v>0</v>
      </c>
    </row>
    <row r="113" spans="1:23" s="270" customFormat="1" ht="8.1" customHeight="1" x14ac:dyDescent="0.25">
      <c r="A113" s="812" t="s">
        <v>26</v>
      </c>
      <c r="B113" s="813"/>
      <c r="C113" s="814" t="s">
        <v>712</v>
      </c>
      <c r="D113" s="815"/>
      <c r="E113" s="815"/>
      <c r="F113" s="815"/>
      <c r="G113" s="816"/>
      <c r="H113" s="271" t="s">
        <v>704</v>
      </c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1"/>
    </row>
    <row r="114" spans="1:23" s="270" customFormat="1" ht="8.1" customHeight="1" x14ac:dyDescent="0.25">
      <c r="A114" s="817" t="s">
        <v>150</v>
      </c>
      <c r="B114" s="818"/>
      <c r="C114" s="819" t="s">
        <v>714</v>
      </c>
      <c r="D114" s="820"/>
      <c r="E114" s="820"/>
      <c r="F114" s="820"/>
      <c r="G114" s="821"/>
      <c r="H114" s="274" t="s">
        <v>704</v>
      </c>
      <c r="I114" s="276">
        <f>I28-I43-0.732</f>
        <v>8.7680000000000007</v>
      </c>
      <c r="J114" s="276">
        <f>J28-J43</f>
        <v>18.259666666666668</v>
      </c>
      <c r="K114" s="276">
        <f t="shared" ref="K114:L114" si="91">K28-K43</f>
        <v>0</v>
      </c>
      <c r="L114" s="276">
        <f t="shared" si="91"/>
        <v>-3.5</v>
      </c>
      <c r="M114" s="276"/>
      <c r="N114" s="276">
        <f t="shared" ref="N114" si="92">N28-N43</f>
        <v>-4.5</v>
      </c>
      <c r="O114" s="276"/>
      <c r="P114" s="276">
        <f t="shared" ref="P114" si="93">P28-P43</f>
        <v>-5.5</v>
      </c>
      <c r="Q114" s="276"/>
      <c r="R114" s="276">
        <f t="shared" ref="R114" si="94">R28-R43</f>
        <v>-6.5</v>
      </c>
      <c r="S114" s="276"/>
      <c r="T114" s="276">
        <f t="shared" ref="T114" si="95">T28-T43</f>
        <v>-7.5</v>
      </c>
      <c r="U114" s="276"/>
      <c r="V114" s="276">
        <f t="shared" ref="V114" si="96">L114+N114+P114+R114+T114</f>
        <v>-27.5</v>
      </c>
      <c r="W114" s="276">
        <f t="shared" ref="W114" si="97">W28-W43</f>
        <v>0</v>
      </c>
    </row>
    <row r="115" spans="1:23" s="270" customFormat="1" ht="8.1" customHeight="1" x14ac:dyDescent="0.25">
      <c r="A115" s="812" t="s">
        <v>151</v>
      </c>
      <c r="B115" s="813"/>
      <c r="C115" s="814" t="s">
        <v>715</v>
      </c>
      <c r="D115" s="815"/>
      <c r="E115" s="815"/>
      <c r="F115" s="815"/>
      <c r="G115" s="816"/>
      <c r="H115" s="271" t="s">
        <v>704</v>
      </c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1"/>
    </row>
    <row r="116" spans="1:23" s="270" customFormat="1" ht="8.1" customHeight="1" x14ac:dyDescent="0.25">
      <c r="A116" s="812" t="s">
        <v>152</v>
      </c>
      <c r="B116" s="813"/>
      <c r="C116" s="814" t="s">
        <v>717</v>
      </c>
      <c r="D116" s="815"/>
      <c r="E116" s="815"/>
      <c r="F116" s="815"/>
      <c r="G116" s="816"/>
      <c r="H116" s="271" t="s">
        <v>704</v>
      </c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1"/>
    </row>
    <row r="117" spans="1:23" s="270" customFormat="1" ht="16.5" customHeight="1" x14ac:dyDescent="0.25">
      <c r="A117" s="812" t="s">
        <v>583</v>
      </c>
      <c r="B117" s="813"/>
      <c r="C117" s="814" t="s">
        <v>719</v>
      </c>
      <c r="D117" s="815"/>
      <c r="E117" s="815"/>
      <c r="F117" s="815"/>
      <c r="G117" s="816"/>
      <c r="H117" s="271" t="s">
        <v>704</v>
      </c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1"/>
    </row>
    <row r="118" spans="1:23" s="270" customFormat="1" ht="8.1" customHeight="1" x14ac:dyDescent="0.25">
      <c r="A118" s="812" t="s">
        <v>334</v>
      </c>
      <c r="B118" s="813"/>
      <c r="C118" s="847" t="s">
        <v>721</v>
      </c>
      <c r="D118" s="848"/>
      <c r="E118" s="848"/>
      <c r="F118" s="848"/>
      <c r="G118" s="849"/>
      <c r="H118" s="271" t="s">
        <v>704</v>
      </c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1"/>
    </row>
    <row r="119" spans="1:23" s="270" customFormat="1" ht="8.1" customHeight="1" x14ac:dyDescent="0.25">
      <c r="A119" s="812" t="s">
        <v>335</v>
      </c>
      <c r="B119" s="813"/>
      <c r="C119" s="847" t="s">
        <v>723</v>
      </c>
      <c r="D119" s="848"/>
      <c r="E119" s="848"/>
      <c r="F119" s="848"/>
      <c r="G119" s="849"/>
      <c r="H119" s="271" t="s">
        <v>704</v>
      </c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1"/>
    </row>
    <row r="120" spans="1:23" s="270" customFormat="1" ht="8.1" customHeight="1" x14ac:dyDescent="0.25">
      <c r="A120" s="817" t="s">
        <v>584</v>
      </c>
      <c r="B120" s="818"/>
      <c r="C120" s="819" t="s">
        <v>725</v>
      </c>
      <c r="D120" s="820"/>
      <c r="E120" s="820"/>
      <c r="F120" s="820"/>
      <c r="G120" s="821"/>
      <c r="H120" s="274" t="s">
        <v>704</v>
      </c>
      <c r="I120" s="275">
        <f>I34-I49+0.002-0.027</f>
        <v>12.064000000000002</v>
      </c>
      <c r="J120" s="275">
        <f>J92</f>
        <v>7.8000000000000007</v>
      </c>
      <c r="K120" s="275">
        <f t="shared" ref="K120:L120" si="98">K34-K49</f>
        <v>0</v>
      </c>
      <c r="L120" s="275">
        <f t="shared" si="98"/>
        <v>0</v>
      </c>
      <c r="M120" s="275"/>
      <c r="N120" s="275">
        <f t="shared" ref="N120" si="99">N34-N49</f>
        <v>0</v>
      </c>
      <c r="O120" s="275"/>
      <c r="P120" s="275">
        <f t="shared" ref="P120" si="100">P34-P49</f>
        <v>0</v>
      </c>
      <c r="Q120" s="275"/>
      <c r="R120" s="275">
        <f t="shared" ref="R120" si="101">R34-R49</f>
        <v>0</v>
      </c>
      <c r="S120" s="275"/>
      <c r="T120" s="275">
        <f t="shared" ref="T120" si="102">T34-T49</f>
        <v>0</v>
      </c>
      <c r="U120" s="275"/>
      <c r="V120" s="276">
        <f t="shared" ref="V120" si="103">L120+N120+P120+R120+T120</f>
        <v>0</v>
      </c>
      <c r="W120" s="275">
        <f t="shared" ref="W120" si="104">W34-W49</f>
        <v>0</v>
      </c>
    </row>
    <row r="121" spans="1:23" s="270" customFormat="1" x14ac:dyDescent="0.25">
      <c r="A121" s="850" t="s">
        <v>827</v>
      </c>
      <c r="B121" s="851"/>
      <c r="C121" s="852" t="s">
        <v>828</v>
      </c>
      <c r="D121" s="853"/>
      <c r="E121" s="853"/>
      <c r="F121" s="853"/>
      <c r="G121" s="854"/>
      <c r="H121" s="279" t="s">
        <v>704</v>
      </c>
      <c r="I121" s="280">
        <v>4.3460000000000001</v>
      </c>
      <c r="J121" s="281">
        <f>J106*0.2</f>
        <v>6.5781333333333372</v>
      </c>
      <c r="K121" s="281">
        <f>K106*0.2</f>
        <v>1.9324480000000024</v>
      </c>
      <c r="L121" s="281">
        <f>L106*0.2</f>
        <v>1.3136108160000051</v>
      </c>
      <c r="M121" s="280">
        <v>0</v>
      </c>
      <c r="N121" s="281">
        <f t="shared" ref="N121:U121" si="105">N106*0.2</f>
        <v>1.2001960810880037</v>
      </c>
      <c r="O121" s="281">
        <f t="shared" si="105"/>
        <v>0</v>
      </c>
      <c r="P121" s="281">
        <f t="shared" si="105"/>
        <v>1.0863041204126092</v>
      </c>
      <c r="Q121" s="281">
        <f t="shared" si="105"/>
        <v>0</v>
      </c>
      <c r="R121" s="281">
        <f t="shared" si="105"/>
        <v>0.97594258934952627</v>
      </c>
      <c r="S121" s="281">
        <f t="shared" si="105"/>
        <v>0</v>
      </c>
      <c r="T121" s="281">
        <f t="shared" si="105"/>
        <v>0.86925623551285303</v>
      </c>
      <c r="U121" s="281">
        <f t="shared" si="105"/>
        <v>0</v>
      </c>
      <c r="V121" s="281">
        <f>L121+N121+P121+R121+T121</f>
        <v>5.4453098423629971</v>
      </c>
      <c r="W121" s="281"/>
    </row>
    <row r="122" spans="1:23" s="270" customFormat="1" ht="8.1" customHeight="1" x14ac:dyDescent="0.25">
      <c r="A122" s="812" t="s">
        <v>27</v>
      </c>
      <c r="B122" s="813"/>
      <c r="C122" s="814" t="s">
        <v>705</v>
      </c>
      <c r="D122" s="815"/>
      <c r="E122" s="815"/>
      <c r="F122" s="815"/>
      <c r="G122" s="816"/>
      <c r="H122" s="271" t="s">
        <v>704</v>
      </c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1"/>
    </row>
    <row r="123" spans="1:23" s="270" customFormat="1" ht="16.5" customHeight="1" x14ac:dyDescent="0.25">
      <c r="A123" s="812" t="s">
        <v>189</v>
      </c>
      <c r="B123" s="813"/>
      <c r="C123" s="847" t="s">
        <v>706</v>
      </c>
      <c r="D123" s="848"/>
      <c r="E123" s="848"/>
      <c r="F123" s="848"/>
      <c r="G123" s="849"/>
      <c r="H123" s="271" t="s">
        <v>704</v>
      </c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1"/>
    </row>
    <row r="124" spans="1:23" s="270" customFormat="1" ht="16.5" customHeight="1" x14ac:dyDescent="0.25">
      <c r="A124" s="812" t="s">
        <v>190</v>
      </c>
      <c r="B124" s="813"/>
      <c r="C124" s="847" t="s">
        <v>707</v>
      </c>
      <c r="D124" s="848"/>
      <c r="E124" s="848"/>
      <c r="F124" s="848"/>
      <c r="G124" s="849"/>
      <c r="H124" s="271" t="s">
        <v>704</v>
      </c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1"/>
    </row>
    <row r="125" spans="1:23" s="270" customFormat="1" ht="16.5" customHeight="1" x14ac:dyDescent="0.25">
      <c r="A125" s="812" t="s">
        <v>191</v>
      </c>
      <c r="B125" s="813"/>
      <c r="C125" s="847" t="s">
        <v>708</v>
      </c>
      <c r="D125" s="848"/>
      <c r="E125" s="848"/>
      <c r="F125" s="848"/>
      <c r="G125" s="849"/>
      <c r="H125" s="271" t="s">
        <v>704</v>
      </c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1"/>
    </row>
    <row r="126" spans="1:23" s="270" customFormat="1" ht="8.1" customHeight="1" x14ac:dyDescent="0.25">
      <c r="A126" s="812" t="s">
        <v>28</v>
      </c>
      <c r="B126" s="813"/>
      <c r="C126" s="814" t="s">
        <v>829</v>
      </c>
      <c r="D126" s="815"/>
      <c r="E126" s="815"/>
      <c r="F126" s="815"/>
      <c r="G126" s="816"/>
      <c r="H126" s="271" t="s">
        <v>704</v>
      </c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1"/>
    </row>
    <row r="127" spans="1:23" s="270" customFormat="1" ht="8.1" customHeight="1" x14ac:dyDescent="0.25">
      <c r="A127" s="817" t="s">
        <v>29</v>
      </c>
      <c r="B127" s="818"/>
      <c r="C127" s="819" t="s">
        <v>830</v>
      </c>
      <c r="D127" s="820"/>
      <c r="E127" s="820"/>
      <c r="F127" s="820"/>
      <c r="G127" s="821"/>
      <c r="H127" s="274" t="s">
        <v>704</v>
      </c>
      <c r="I127" s="275"/>
      <c r="J127" s="276">
        <f>J112*0.2</f>
        <v>1.4462000000000028</v>
      </c>
      <c r="K127" s="276">
        <f>K112*0.2</f>
        <v>1.9324480000000024</v>
      </c>
      <c r="L127" s="276">
        <f>L112*0.2</f>
        <v>2.0136108160000048</v>
      </c>
      <c r="M127" s="275"/>
      <c r="N127" s="276">
        <f>N112*0.2</f>
        <v>2.1001960810880038</v>
      </c>
      <c r="O127" s="276"/>
      <c r="P127" s="276">
        <f>P112*0.2</f>
        <v>2.186304120412609</v>
      </c>
      <c r="Q127" s="276"/>
      <c r="R127" s="276">
        <f>R112*0.2</f>
        <v>2.2759425893495262</v>
      </c>
      <c r="S127" s="276"/>
      <c r="T127" s="276">
        <f>T112*0.2</f>
        <v>2.3692562355128532</v>
      </c>
      <c r="U127" s="276"/>
      <c r="V127" s="276">
        <f t="shared" ref="V127" si="106">L127+N127+P127+R127+T127</f>
        <v>10.945309842362997</v>
      </c>
      <c r="W127" s="276">
        <f>M127+O127+S127</f>
        <v>0</v>
      </c>
    </row>
    <row r="128" spans="1:23" s="270" customFormat="1" ht="8.1" customHeight="1" x14ac:dyDescent="0.25">
      <c r="A128" s="812" t="s">
        <v>30</v>
      </c>
      <c r="B128" s="813"/>
      <c r="C128" s="814" t="s">
        <v>831</v>
      </c>
      <c r="D128" s="815"/>
      <c r="E128" s="815"/>
      <c r="F128" s="815"/>
      <c r="G128" s="816"/>
      <c r="H128" s="271" t="s">
        <v>704</v>
      </c>
      <c r="I128" s="273"/>
      <c r="J128" s="289"/>
      <c r="K128" s="273"/>
      <c r="L128" s="273"/>
      <c r="M128" s="273"/>
      <c r="N128" s="273"/>
      <c r="O128" s="289"/>
      <c r="P128" s="273"/>
      <c r="Q128" s="273"/>
      <c r="R128" s="273"/>
      <c r="S128" s="273"/>
      <c r="T128" s="273"/>
      <c r="U128" s="273"/>
      <c r="V128" s="273"/>
      <c r="W128" s="271"/>
    </row>
    <row r="129" spans="1:23" s="270" customFormat="1" ht="8.1" customHeight="1" x14ac:dyDescent="0.25">
      <c r="A129" s="817" t="s">
        <v>832</v>
      </c>
      <c r="B129" s="818"/>
      <c r="C129" s="819" t="s">
        <v>833</v>
      </c>
      <c r="D129" s="820"/>
      <c r="E129" s="820"/>
      <c r="F129" s="820"/>
      <c r="G129" s="821"/>
      <c r="H129" s="274" t="s">
        <v>704</v>
      </c>
      <c r="I129" s="275"/>
      <c r="J129" s="276">
        <f>J114*0.2</f>
        <v>3.6519333333333339</v>
      </c>
      <c r="K129" s="275"/>
      <c r="L129" s="275"/>
      <c r="M129" s="275"/>
      <c r="N129" s="275"/>
      <c r="O129" s="276"/>
      <c r="P129" s="275"/>
      <c r="Q129" s="275"/>
      <c r="R129" s="275"/>
      <c r="S129" s="275"/>
      <c r="T129" s="275"/>
      <c r="U129" s="275"/>
      <c r="V129" s="276">
        <f t="shared" ref="V129" si="107">L129+N129+P129+R129+T129</f>
        <v>0</v>
      </c>
      <c r="W129" s="276">
        <f>M129+O129+S129</f>
        <v>0</v>
      </c>
    </row>
    <row r="130" spans="1:23" s="270" customFormat="1" ht="8.1" customHeight="1" x14ac:dyDescent="0.25">
      <c r="A130" s="812" t="s">
        <v>834</v>
      </c>
      <c r="B130" s="813"/>
      <c r="C130" s="814" t="s">
        <v>835</v>
      </c>
      <c r="D130" s="815"/>
      <c r="E130" s="815"/>
      <c r="F130" s="815"/>
      <c r="G130" s="816"/>
      <c r="H130" s="271" t="s">
        <v>704</v>
      </c>
      <c r="I130" s="273"/>
      <c r="J130" s="289"/>
      <c r="K130" s="273"/>
      <c r="L130" s="273"/>
      <c r="M130" s="273"/>
      <c r="N130" s="273"/>
      <c r="O130" s="289"/>
      <c r="P130" s="273"/>
      <c r="Q130" s="273"/>
      <c r="R130" s="273"/>
      <c r="S130" s="273"/>
      <c r="T130" s="273"/>
      <c r="U130" s="273"/>
      <c r="V130" s="273"/>
      <c r="W130" s="271"/>
    </row>
    <row r="131" spans="1:23" s="270" customFormat="1" ht="8.1" customHeight="1" x14ac:dyDescent="0.25">
      <c r="A131" s="812" t="s">
        <v>836</v>
      </c>
      <c r="B131" s="813"/>
      <c r="C131" s="814" t="s">
        <v>837</v>
      </c>
      <c r="D131" s="815"/>
      <c r="E131" s="815"/>
      <c r="F131" s="815"/>
      <c r="G131" s="816"/>
      <c r="H131" s="271" t="s">
        <v>704</v>
      </c>
      <c r="I131" s="273"/>
      <c r="J131" s="289"/>
      <c r="K131" s="273"/>
      <c r="L131" s="273"/>
      <c r="M131" s="273"/>
      <c r="N131" s="273"/>
      <c r="O131" s="289"/>
      <c r="P131" s="273"/>
      <c r="Q131" s="273"/>
      <c r="R131" s="273"/>
      <c r="S131" s="273"/>
      <c r="T131" s="273"/>
      <c r="U131" s="273"/>
      <c r="V131" s="273"/>
      <c r="W131" s="271"/>
    </row>
    <row r="132" spans="1:23" s="270" customFormat="1" ht="17.100000000000001" customHeight="1" x14ac:dyDescent="0.25">
      <c r="A132" s="812" t="s">
        <v>838</v>
      </c>
      <c r="B132" s="813"/>
      <c r="C132" s="814" t="s">
        <v>719</v>
      </c>
      <c r="D132" s="815"/>
      <c r="E132" s="815"/>
      <c r="F132" s="815"/>
      <c r="G132" s="816"/>
      <c r="H132" s="271" t="s">
        <v>704</v>
      </c>
      <c r="I132" s="273"/>
      <c r="J132" s="289"/>
      <c r="K132" s="273"/>
      <c r="L132" s="273"/>
      <c r="M132" s="273"/>
      <c r="N132" s="273"/>
      <c r="O132" s="289"/>
      <c r="P132" s="273"/>
      <c r="Q132" s="273"/>
      <c r="R132" s="273"/>
      <c r="S132" s="273"/>
      <c r="T132" s="273"/>
      <c r="U132" s="273"/>
      <c r="V132" s="273"/>
      <c r="W132" s="271"/>
    </row>
    <row r="133" spans="1:23" s="270" customFormat="1" ht="8.1" customHeight="1" x14ac:dyDescent="0.25">
      <c r="A133" s="812" t="s">
        <v>839</v>
      </c>
      <c r="B133" s="813"/>
      <c r="C133" s="847" t="s">
        <v>721</v>
      </c>
      <c r="D133" s="848"/>
      <c r="E133" s="848"/>
      <c r="F133" s="848"/>
      <c r="G133" s="849"/>
      <c r="H133" s="271" t="s">
        <v>704</v>
      </c>
      <c r="I133" s="273"/>
      <c r="J133" s="289"/>
      <c r="K133" s="273"/>
      <c r="L133" s="273"/>
      <c r="M133" s="273"/>
      <c r="N133" s="273"/>
      <c r="O133" s="289"/>
      <c r="P133" s="273"/>
      <c r="Q133" s="273"/>
      <c r="R133" s="273"/>
      <c r="S133" s="273"/>
      <c r="T133" s="273"/>
      <c r="U133" s="273"/>
      <c r="V133" s="273"/>
      <c r="W133" s="271"/>
    </row>
    <row r="134" spans="1:23" s="270" customFormat="1" ht="8.1" customHeight="1" x14ac:dyDescent="0.25">
      <c r="A134" s="812" t="s">
        <v>840</v>
      </c>
      <c r="B134" s="813"/>
      <c r="C134" s="847" t="s">
        <v>723</v>
      </c>
      <c r="D134" s="848"/>
      <c r="E134" s="848"/>
      <c r="F134" s="848"/>
      <c r="G134" s="849"/>
      <c r="H134" s="271" t="s">
        <v>704</v>
      </c>
      <c r="I134" s="273"/>
      <c r="J134" s="289"/>
      <c r="K134" s="273"/>
      <c r="L134" s="273"/>
      <c r="M134" s="273"/>
      <c r="N134" s="273"/>
      <c r="O134" s="289"/>
      <c r="P134" s="273"/>
      <c r="Q134" s="273"/>
      <c r="R134" s="273"/>
      <c r="S134" s="273"/>
      <c r="T134" s="273"/>
      <c r="U134" s="273"/>
      <c r="V134" s="273"/>
      <c r="W134" s="271"/>
    </row>
    <row r="135" spans="1:23" s="270" customFormat="1" ht="8.1" customHeight="1" x14ac:dyDescent="0.25">
      <c r="A135" s="817" t="s">
        <v>841</v>
      </c>
      <c r="B135" s="818"/>
      <c r="C135" s="819" t="s">
        <v>842</v>
      </c>
      <c r="D135" s="820"/>
      <c r="E135" s="820"/>
      <c r="F135" s="820"/>
      <c r="G135" s="821"/>
      <c r="H135" s="274" t="s">
        <v>704</v>
      </c>
      <c r="I135" s="275"/>
      <c r="J135" s="275">
        <f>J120*0.2</f>
        <v>1.5600000000000003</v>
      </c>
      <c r="K135" s="275"/>
      <c r="L135" s="275"/>
      <c r="M135" s="275"/>
      <c r="N135" s="275"/>
      <c r="O135" s="275">
        <f>O120*0.2</f>
        <v>0</v>
      </c>
      <c r="P135" s="275"/>
      <c r="Q135" s="275"/>
      <c r="R135" s="275"/>
      <c r="S135" s="275"/>
      <c r="T135" s="275"/>
      <c r="U135" s="275"/>
      <c r="V135" s="276">
        <f t="shared" ref="V135" si="108">L135+N135+P135+R135+T135</f>
        <v>0</v>
      </c>
      <c r="W135" s="276">
        <f>M135+O135+S135</f>
        <v>0</v>
      </c>
    </row>
    <row r="136" spans="1:23" s="270" customFormat="1" ht="9.75" x14ac:dyDescent="0.25">
      <c r="A136" s="850" t="s">
        <v>843</v>
      </c>
      <c r="B136" s="851"/>
      <c r="C136" s="852" t="s">
        <v>844</v>
      </c>
      <c r="D136" s="853"/>
      <c r="E136" s="853"/>
      <c r="F136" s="853"/>
      <c r="G136" s="854"/>
      <c r="H136" s="279" t="s">
        <v>704</v>
      </c>
      <c r="I136" s="287">
        <f>I106-I121</f>
        <v>22.116999999999994</v>
      </c>
      <c r="J136" s="288">
        <f>J106-J121</f>
        <v>26.312533333333345</v>
      </c>
      <c r="K136" s="288">
        <f t="shared" ref="K136" si="109">K142+K144+K150</f>
        <v>7.7297920000000087</v>
      </c>
      <c r="L136" s="288">
        <f>L142+L144+L150</f>
        <v>4.5544432640000192</v>
      </c>
      <c r="M136" s="287">
        <f>M106-M121</f>
        <v>0</v>
      </c>
      <c r="N136" s="288">
        <f t="shared" ref="N136" si="110">N142+N144+N150</f>
        <v>3.9007843243520135</v>
      </c>
      <c r="O136" s="288">
        <f>O106-O121</f>
        <v>0</v>
      </c>
      <c r="P136" s="288">
        <f t="shared" ref="P136" si="111">P142+P144+P150</f>
        <v>3.2452164816504361</v>
      </c>
      <c r="Q136" s="288">
        <f t="shared" ref="Q136:R136" si="112">Q142+Q144+Q150</f>
        <v>0</v>
      </c>
      <c r="R136" s="288">
        <f t="shared" si="112"/>
        <v>2.6037703573981048</v>
      </c>
      <c r="S136" s="288">
        <f t="shared" ref="S136:T136" si="113">S142+S144+S150</f>
        <v>0</v>
      </c>
      <c r="T136" s="288">
        <f t="shared" si="113"/>
        <v>1.9770249420514112</v>
      </c>
      <c r="U136" s="288">
        <f t="shared" ref="U136" si="114">U142+U144+U150</f>
        <v>0</v>
      </c>
      <c r="V136" s="281">
        <f>L136+N136+R136</f>
        <v>11.058997945750138</v>
      </c>
      <c r="W136" s="281">
        <f>M136+O136+S136</f>
        <v>0</v>
      </c>
    </row>
    <row r="137" spans="1:23" s="270" customFormat="1" ht="8.1" customHeight="1" x14ac:dyDescent="0.25">
      <c r="A137" s="812" t="s">
        <v>845</v>
      </c>
      <c r="B137" s="813"/>
      <c r="C137" s="814" t="s">
        <v>705</v>
      </c>
      <c r="D137" s="815"/>
      <c r="E137" s="815"/>
      <c r="F137" s="815"/>
      <c r="G137" s="816"/>
      <c r="H137" s="271" t="s">
        <v>704</v>
      </c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1"/>
    </row>
    <row r="138" spans="1:23" s="270" customFormat="1" ht="16.5" customHeight="1" x14ac:dyDescent="0.25">
      <c r="A138" s="812" t="s">
        <v>561</v>
      </c>
      <c r="B138" s="813"/>
      <c r="C138" s="847" t="s">
        <v>706</v>
      </c>
      <c r="D138" s="848"/>
      <c r="E138" s="848"/>
      <c r="F138" s="848"/>
      <c r="G138" s="849"/>
      <c r="H138" s="271" t="s">
        <v>704</v>
      </c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1"/>
    </row>
    <row r="139" spans="1:23" s="270" customFormat="1" ht="16.5" customHeight="1" x14ac:dyDescent="0.25">
      <c r="A139" s="812" t="s">
        <v>562</v>
      </c>
      <c r="B139" s="813"/>
      <c r="C139" s="847" t="s">
        <v>707</v>
      </c>
      <c r="D139" s="848"/>
      <c r="E139" s="848"/>
      <c r="F139" s="848"/>
      <c r="G139" s="849"/>
      <c r="H139" s="271" t="s">
        <v>704</v>
      </c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1"/>
    </row>
    <row r="140" spans="1:23" s="270" customFormat="1" ht="16.5" customHeight="1" x14ac:dyDescent="0.25">
      <c r="A140" s="812" t="s">
        <v>563</v>
      </c>
      <c r="B140" s="813"/>
      <c r="C140" s="847" t="s">
        <v>708</v>
      </c>
      <c r="D140" s="848"/>
      <c r="E140" s="848"/>
      <c r="F140" s="848"/>
      <c r="G140" s="849"/>
      <c r="H140" s="271" t="s">
        <v>704</v>
      </c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1"/>
    </row>
    <row r="141" spans="1:23" s="270" customFormat="1" ht="8.1" customHeight="1" x14ac:dyDescent="0.25">
      <c r="A141" s="812" t="s">
        <v>846</v>
      </c>
      <c r="B141" s="813"/>
      <c r="C141" s="814" t="s">
        <v>709</v>
      </c>
      <c r="D141" s="815"/>
      <c r="E141" s="815"/>
      <c r="F141" s="815"/>
      <c r="G141" s="816"/>
      <c r="H141" s="271" t="s">
        <v>704</v>
      </c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1"/>
    </row>
    <row r="142" spans="1:23" s="270" customFormat="1" ht="8.1" customHeight="1" x14ac:dyDescent="0.25">
      <c r="A142" s="817" t="s">
        <v>847</v>
      </c>
      <c r="B142" s="818"/>
      <c r="C142" s="819" t="s">
        <v>710</v>
      </c>
      <c r="D142" s="820"/>
      <c r="E142" s="820"/>
      <c r="F142" s="820"/>
      <c r="G142" s="821"/>
      <c r="H142" s="274" t="s">
        <v>704</v>
      </c>
      <c r="I142" s="275"/>
      <c r="J142" s="276">
        <f>J112-J127</f>
        <v>5.7848000000000104</v>
      </c>
      <c r="K142" s="276">
        <f t="shared" ref="K142:L142" si="115">K112-K127</f>
        <v>7.7297920000000087</v>
      </c>
      <c r="L142" s="276">
        <f t="shared" si="115"/>
        <v>8.0544432640000192</v>
      </c>
      <c r="M142" s="275"/>
      <c r="N142" s="276">
        <f>N112-N127</f>
        <v>8.4007843243520135</v>
      </c>
      <c r="O142" s="276"/>
      <c r="P142" s="276">
        <f t="shared" ref="P142" si="116">P112-P127</f>
        <v>8.7452164816504361</v>
      </c>
      <c r="Q142" s="276"/>
      <c r="R142" s="276">
        <f t="shared" ref="R142" si="117">R112-R127</f>
        <v>9.1037703573981048</v>
      </c>
      <c r="S142" s="276"/>
      <c r="T142" s="276">
        <f>T112-T127</f>
        <v>9.4770249420514112</v>
      </c>
      <c r="U142" s="276"/>
      <c r="V142" s="276">
        <f t="shared" ref="V142" si="118">L142+N142+P142+R142+T142</f>
        <v>43.781239369451981</v>
      </c>
      <c r="W142" s="276"/>
    </row>
    <row r="143" spans="1:23" s="270" customFormat="1" ht="8.1" customHeight="1" x14ac:dyDescent="0.25">
      <c r="A143" s="812" t="s">
        <v>848</v>
      </c>
      <c r="B143" s="813"/>
      <c r="C143" s="814" t="s">
        <v>712</v>
      </c>
      <c r="D143" s="815"/>
      <c r="E143" s="815"/>
      <c r="F143" s="815"/>
      <c r="G143" s="816"/>
      <c r="H143" s="271" t="s">
        <v>704</v>
      </c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1"/>
    </row>
    <row r="144" spans="1:23" s="270" customFormat="1" ht="8.1" customHeight="1" x14ac:dyDescent="0.25">
      <c r="A144" s="817" t="s">
        <v>849</v>
      </c>
      <c r="B144" s="818"/>
      <c r="C144" s="819" t="s">
        <v>714</v>
      </c>
      <c r="D144" s="820"/>
      <c r="E144" s="820"/>
      <c r="F144" s="820"/>
      <c r="G144" s="821"/>
      <c r="H144" s="274" t="s">
        <v>704</v>
      </c>
      <c r="I144" s="275"/>
      <c r="J144" s="276">
        <f>J114-J129</f>
        <v>14.607733333333334</v>
      </c>
      <c r="K144" s="275">
        <f t="shared" ref="K144:L144" si="119">K114-K129</f>
        <v>0</v>
      </c>
      <c r="L144" s="275">
        <f t="shared" si="119"/>
        <v>-3.5</v>
      </c>
      <c r="M144" s="275"/>
      <c r="N144" s="275">
        <f t="shared" ref="N144" si="120">N114-N129</f>
        <v>-4.5</v>
      </c>
      <c r="O144" s="276"/>
      <c r="P144" s="275">
        <f t="shared" ref="P144" si="121">P114-P129</f>
        <v>-5.5</v>
      </c>
      <c r="Q144" s="275"/>
      <c r="R144" s="275">
        <f t="shared" ref="R144" si="122">R114-R129</f>
        <v>-6.5</v>
      </c>
      <c r="S144" s="275"/>
      <c r="T144" s="275">
        <f t="shared" ref="T144" si="123">T114-T129</f>
        <v>-7.5</v>
      </c>
      <c r="U144" s="275"/>
      <c r="V144" s="276">
        <f t="shared" ref="V144" si="124">L144+N144+P144+R144+T144</f>
        <v>-27.5</v>
      </c>
      <c r="W144" s="276"/>
    </row>
    <row r="145" spans="1:23" s="270" customFormat="1" ht="8.1" customHeight="1" x14ac:dyDescent="0.25">
      <c r="A145" s="812" t="s">
        <v>850</v>
      </c>
      <c r="B145" s="813"/>
      <c r="C145" s="814" t="s">
        <v>715</v>
      </c>
      <c r="D145" s="815"/>
      <c r="E145" s="815"/>
      <c r="F145" s="815"/>
      <c r="G145" s="816"/>
      <c r="H145" s="271" t="s">
        <v>704</v>
      </c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1"/>
    </row>
    <row r="146" spans="1:23" s="270" customFormat="1" ht="8.1" customHeight="1" x14ac:dyDescent="0.25">
      <c r="A146" s="812" t="s">
        <v>851</v>
      </c>
      <c r="B146" s="813"/>
      <c r="C146" s="814" t="s">
        <v>717</v>
      </c>
      <c r="D146" s="815"/>
      <c r="E146" s="815"/>
      <c r="F146" s="815"/>
      <c r="G146" s="816"/>
      <c r="H146" s="271" t="s">
        <v>704</v>
      </c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1"/>
    </row>
    <row r="147" spans="1:23" s="270" customFormat="1" ht="16.5" customHeight="1" x14ac:dyDescent="0.25">
      <c r="A147" s="812" t="s">
        <v>852</v>
      </c>
      <c r="B147" s="813"/>
      <c r="C147" s="814" t="s">
        <v>719</v>
      </c>
      <c r="D147" s="815"/>
      <c r="E147" s="815"/>
      <c r="F147" s="815"/>
      <c r="G147" s="816"/>
      <c r="H147" s="271" t="s">
        <v>704</v>
      </c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1"/>
    </row>
    <row r="148" spans="1:23" s="270" customFormat="1" ht="8.1" customHeight="1" x14ac:dyDescent="0.25">
      <c r="A148" s="812" t="s">
        <v>238</v>
      </c>
      <c r="B148" s="813"/>
      <c r="C148" s="847" t="s">
        <v>721</v>
      </c>
      <c r="D148" s="848"/>
      <c r="E148" s="848"/>
      <c r="F148" s="848"/>
      <c r="G148" s="849"/>
      <c r="H148" s="271" t="s">
        <v>704</v>
      </c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1"/>
    </row>
    <row r="149" spans="1:23" s="270" customFormat="1" ht="8.1" customHeight="1" x14ac:dyDescent="0.25">
      <c r="A149" s="812" t="s">
        <v>239</v>
      </c>
      <c r="B149" s="813"/>
      <c r="C149" s="847" t="s">
        <v>723</v>
      </c>
      <c r="D149" s="848"/>
      <c r="E149" s="848"/>
      <c r="F149" s="848"/>
      <c r="G149" s="849"/>
      <c r="H149" s="271" t="s">
        <v>704</v>
      </c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1"/>
    </row>
    <row r="150" spans="1:23" s="270" customFormat="1" ht="8.1" customHeight="1" x14ac:dyDescent="0.25">
      <c r="A150" s="817" t="s">
        <v>853</v>
      </c>
      <c r="B150" s="818"/>
      <c r="C150" s="819" t="s">
        <v>725</v>
      </c>
      <c r="D150" s="820"/>
      <c r="E150" s="820"/>
      <c r="F150" s="820"/>
      <c r="G150" s="821"/>
      <c r="H150" s="274" t="s">
        <v>704</v>
      </c>
      <c r="I150" s="275"/>
      <c r="J150" s="275">
        <f>J120-J135</f>
        <v>6.24</v>
      </c>
      <c r="K150" s="275">
        <f t="shared" ref="K150:L150" si="125">K120-K135</f>
        <v>0</v>
      </c>
      <c r="L150" s="275">
        <f t="shared" si="125"/>
        <v>0</v>
      </c>
      <c r="M150" s="275"/>
      <c r="N150" s="275">
        <f t="shared" ref="N150" si="126">N120-N135</f>
        <v>0</v>
      </c>
      <c r="O150" s="275">
        <f>O120-O135</f>
        <v>0</v>
      </c>
      <c r="P150" s="275">
        <f t="shared" ref="P150" si="127">P120-P135</f>
        <v>0</v>
      </c>
      <c r="Q150" s="275">
        <f t="shared" ref="Q150:R150" si="128">Q120-Q135</f>
        <v>0</v>
      </c>
      <c r="R150" s="275">
        <f t="shared" si="128"/>
        <v>0</v>
      </c>
      <c r="S150" s="275">
        <f t="shared" ref="S150:T150" si="129">S120-S135</f>
        <v>0</v>
      </c>
      <c r="T150" s="275">
        <f t="shared" si="129"/>
        <v>0</v>
      </c>
      <c r="U150" s="275">
        <f t="shared" ref="U150" si="130">U120-U135</f>
        <v>0</v>
      </c>
      <c r="V150" s="276">
        <f t="shared" ref="V150" si="131">L150+N150+P150+R150+T150</f>
        <v>0</v>
      </c>
      <c r="W150" s="276"/>
    </row>
    <row r="151" spans="1:23" s="270" customFormat="1" ht="8.1" customHeight="1" x14ac:dyDescent="0.25">
      <c r="A151" s="850" t="s">
        <v>854</v>
      </c>
      <c r="B151" s="851"/>
      <c r="C151" s="852" t="s">
        <v>855</v>
      </c>
      <c r="D151" s="853"/>
      <c r="E151" s="853"/>
      <c r="F151" s="853"/>
      <c r="G151" s="854"/>
      <c r="H151" s="279" t="s">
        <v>704</v>
      </c>
      <c r="I151" s="280">
        <f t="shared" ref="I151:K151" si="132">SUM(I152:I155)</f>
        <v>22.116999999999994</v>
      </c>
      <c r="J151" s="280">
        <f t="shared" si="132"/>
        <v>8.6939999999999991</v>
      </c>
      <c r="K151" s="280">
        <f t="shared" si="132"/>
        <v>7.73</v>
      </c>
      <c r="L151" s="280">
        <f t="shared" ref="L151" si="133">SUM(L152:L155)</f>
        <v>8.1010000000000009</v>
      </c>
      <c r="M151" s="280">
        <f t="shared" ref="M151:W151" si="134">SUM(M152:M155)</f>
        <v>0</v>
      </c>
      <c r="N151" s="280">
        <f t="shared" si="134"/>
        <v>8.4819999999999993</v>
      </c>
      <c r="O151" s="280">
        <f t="shared" si="134"/>
        <v>0</v>
      </c>
      <c r="P151" s="280">
        <f t="shared" si="134"/>
        <v>8.8800000000000008</v>
      </c>
      <c r="Q151" s="280">
        <f t="shared" ref="Q151:R151" si="135">SUM(Q152:Q155)</f>
        <v>0</v>
      </c>
      <c r="R151" s="280">
        <f t="shared" si="135"/>
        <v>9.298</v>
      </c>
      <c r="S151" s="280">
        <f t="shared" si="134"/>
        <v>0</v>
      </c>
      <c r="T151" s="280">
        <f t="shared" si="134"/>
        <v>9.7349999999999994</v>
      </c>
      <c r="U151" s="280">
        <f t="shared" ref="U151" si="136">SUM(U152:U155)</f>
        <v>0</v>
      </c>
      <c r="V151" s="280">
        <f t="shared" si="134"/>
        <v>44.496000000000002</v>
      </c>
      <c r="W151" s="280">
        <f t="shared" si="134"/>
        <v>0</v>
      </c>
    </row>
    <row r="152" spans="1:23" s="270" customFormat="1" ht="8.1" customHeight="1" x14ac:dyDescent="0.25">
      <c r="A152" s="817" t="s">
        <v>856</v>
      </c>
      <c r="B152" s="818"/>
      <c r="C152" s="819" t="s">
        <v>857</v>
      </c>
      <c r="D152" s="820"/>
      <c r="E152" s="820"/>
      <c r="F152" s="820"/>
      <c r="G152" s="821"/>
      <c r="H152" s="274" t="s">
        <v>704</v>
      </c>
      <c r="I152" s="275">
        <f>I136</f>
        <v>22.116999999999994</v>
      </c>
      <c r="J152" s="275">
        <f>5.785+2.909</f>
        <v>8.6939999999999991</v>
      </c>
      <c r="K152" s="275">
        <v>7.73</v>
      </c>
      <c r="L152" s="275">
        <v>8.1010000000000009</v>
      </c>
      <c r="M152" s="275"/>
      <c r="N152" s="275">
        <v>8.4819999999999993</v>
      </c>
      <c r="O152" s="275"/>
      <c r="P152" s="275">
        <v>8.8800000000000008</v>
      </c>
      <c r="Q152" s="275"/>
      <c r="R152" s="275">
        <v>9.298</v>
      </c>
      <c r="S152" s="275"/>
      <c r="T152" s="275">
        <v>9.7349999999999994</v>
      </c>
      <c r="U152" s="275"/>
      <c r="V152" s="276">
        <f t="shared" ref="V152" si="137">L152+N152+P152+R152+T152</f>
        <v>44.496000000000002</v>
      </c>
      <c r="W152" s="275">
        <f>M152+O152+S152</f>
        <v>0</v>
      </c>
    </row>
    <row r="153" spans="1:23" s="270" customFormat="1" ht="8.1" customHeight="1" x14ac:dyDescent="0.25">
      <c r="A153" s="812" t="s">
        <v>858</v>
      </c>
      <c r="B153" s="813"/>
      <c r="C153" s="814" t="s">
        <v>859</v>
      </c>
      <c r="D153" s="815"/>
      <c r="E153" s="815"/>
      <c r="F153" s="815"/>
      <c r="G153" s="816"/>
      <c r="H153" s="271" t="s">
        <v>704</v>
      </c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1"/>
    </row>
    <row r="154" spans="1:23" s="270" customFormat="1" ht="8.1" customHeight="1" x14ac:dyDescent="0.25">
      <c r="A154" s="812" t="s">
        <v>860</v>
      </c>
      <c r="B154" s="813"/>
      <c r="C154" s="814" t="s">
        <v>861</v>
      </c>
      <c r="D154" s="815"/>
      <c r="E154" s="815"/>
      <c r="F154" s="815"/>
      <c r="G154" s="816"/>
      <c r="H154" s="271" t="s">
        <v>704</v>
      </c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1"/>
    </row>
    <row r="155" spans="1:23" s="270" customFormat="1" ht="9" thickBot="1" x14ac:dyDescent="0.3">
      <c r="A155" s="883" t="s">
        <v>862</v>
      </c>
      <c r="B155" s="884"/>
      <c r="C155" s="885" t="s">
        <v>863</v>
      </c>
      <c r="D155" s="886"/>
      <c r="E155" s="886"/>
      <c r="F155" s="886"/>
      <c r="G155" s="887"/>
      <c r="H155" s="290" t="s">
        <v>704</v>
      </c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0"/>
    </row>
    <row r="156" spans="1:23" s="270" customFormat="1" ht="9" customHeight="1" x14ac:dyDescent="0.25">
      <c r="A156" s="878" t="s">
        <v>864</v>
      </c>
      <c r="B156" s="879"/>
      <c r="C156" s="880" t="s">
        <v>788</v>
      </c>
      <c r="D156" s="881"/>
      <c r="E156" s="881"/>
      <c r="F156" s="881"/>
      <c r="G156" s="882"/>
      <c r="H156" s="292" t="s">
        <v>73</v>
      </c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2"/>
    </row>
    <row r="157" spans="1:23" s="270" customFormat="1" ht="16.5" customHeight="1" x14ac:dyDescent="0.25">
      <c r="A157" s="817" t="s">
        <v>865</v>
      </c>
      <c r="B157" s="818"/>
      <c r="C157" s="819" t="s">
        <v>866</v>
      </c>
      <c r="D157" s="820"/>
      <c r="E157" s="820"/>
      <c r="F157" s="820"/>
      <c r="G157" s="821"/>
      <c r="H157" s="274" t="s">
        <v>704</v>
      </c>
      <c r="I157" s="275">
        <f>I106+I102+I66</f>
        <v>28.310999999999993</v>
      </c>
      <c r="J157" s="276">
        <f t="shared" ref="J157:K157" si="138">J106+J102+J66</f>
        <v>34.256666666666682</v>
      </c>
      <c r="K157" s="276">
        <f t="shared" si="138"/>
        <v>14.955240000000011</v>
      </c>
      <c r="L157" s="276">
        <f>L106+L102+L66</f>
        <v>12.083360080000025</v>
      </c>
      <c r="M157" s="275"/>
      <c r="N157" s="276">
        <f t="shared" ref="N157" si="139">N106+N102+N66</f>
        <v>11.753444563440018</v>
      </c>
      <c r="O157" s="276"/>
      <c r="P157" s="276">
        <f t="shared" ref="P157" si="140">P106+P102+P66</f>
        <v>11.419835790541047</v>
      </c>
      <c r="Q157" s="276"/>
      <c r="R157" s="276">
        <f t="shared" ref="R157" si="141">R106+R102+R66</f>
        <v>11.113549057953229</v>
      </c>
      <c r="S157" s="276"/>
      <c r="T157" s="276">
        <f t="shared" ref="T157" si="142">T106+T102+T66</f>
        <v>10.835704569329291</v>
      </c>
      <c r="U157" s="276"/>
      <c r="V157" s="276">
        <f>V106+V102+V66</f>
        <v>57.205894061263606</v>
      </c>
      <c r="W157" s="276">
        <f>W106+W102+W66</f>
        <v>0</v>
      </c>
    </row>
    <row r="158" spans="1:23" s="270" customFormat="1" ht="8.1" customHeight="1" x14ac:dyDescent="0.25">
      <c r="A158" s="812" t="s">
        <v>867</v>
      </c>
      <c r="B158" s="813"/>
      <c r="C158" s="814" t="s">
        <v>868</v>
      </c>
      <c r="D158" s="815"/>
      <c r="E158" s="815"/>
      <c r="F158" s="815"/>
      <c r="G158" s="816"/>
      <c r="H158" s="271" t="s">
        <v>704</v>
      </c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1"/>
    </row>
    <row r="159" spans="1:23" s="270" customFormat="1" ht="8.1" customHeight="1" x14ac:dyDescent="0.25">
      <c r="A159" s="812" t="s">
        <v>869</v>
      </c>
      <c r="B159" s="813"/>
      <c r="C159" s="847" t="s">
        <v>870</v>
      </c>
      <c r="D159" s="848"/>
      <c r="E159" s="848"/>
      <c r="F159" s="848"/>
      <c r="G159" s="849"/>
      <c r="H159" s="271" t="s">
        <v>704</v>
      </c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1"/>
    </row>
    <row r="160" spans="1:23" s="270" customFormat="1" ht="8.1" customHeight="1" x14ac:dyDescent="0.25">
      <c r="A160" s="812" t="s">
        <v>871</v>
      </c>
      <c r="B160" s="813"/>
      <c r="C160" s="814" t="s">
        <v>872</v>
      </c>
      <c r="D160" s="815"/>
      <c r="E160" s="815"/>
      <c r="F160" s="815"/>
      <c r="G160" s="816"/>
      <c r="H160" s="271" t="s">
        <v>704</v>
      </c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1"/>
    </row>
    <row r="161" spans="1:23" s="270" customFormat="1" ht="8.1" customHeight="1" x14ac:dyDescent="0.25">
      <c r="A161" s="812" t="s">
        <v>873</v>
      </c>
      <c r="B161" s="813"/>
      <c r="C161" s="847" t="s">
        <v>874</v>
      </c>
      <c r="D161" s="848"/>
      <c r="E161" s="848"/>
      <c r="F161" s="848"/>
      <c r="G161" s="849"/>
      <c r="H161" s="271" t="s">
        <v>704</v>
      </c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1"/>
    </row>
    <row r="162" spans="1:23" s="270" customFormat="1" ht="17.25" customHeight="1" thickBot="1" x14ac:dyDescent="0.3">
      <c r="A162" s="883" t="s">
        <v>875</v>
      </c>
      <c r="B162" s="884"/>
      <c r="C162" s="885" t="s">
        <v>876</v>
      </c>
      <c r="D162" s="886"/>
      <c r="E162" s="886"/>
      <c r="F162" s="886"/>
      <c r="G162" s="887"/>
      <c r="H162" s="290" t="s">
        <v>73</v>
      </c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0"/>
    </row>
    <row r="163" spans="1:23" s="294" customFormat="1" ht="10.5" customHeight="1" thickBot="1" x14ac:dyDescent="0.25">
      <c r="A163" s="828" t="s">
        <v>877</v>
      </c>
      <c r="B163" s="829"/>
      <c r="C163" s="829"/>
      <c r="D163" s="829"/>
      <c r="E163" s="829"/>
      <c r="F163" s="829"/>
      <c r="G163" s="829"/>
      <c r="H163" s="829"/>
      <c r="I163" s="829"/>
      <c r="J163" s="829"/>
      <c r="K163" s="829"/>
      <c r="L163" s="829"/>
      <c r="M163" s="829"/>
      <c r="N163" s="829"/>
      <c r="O163" s="829"/>
      <c r="P163" s="829"/>
      <c r="Q163" s="829"/>
      <c r="R163" s="829"/>
      <c r="S163" s="829"/>
      <c r="T163" s="829"/>
      <c r="U163" s="829"/>
      <c r="V163" s="829"/>
      <c r="W163" s="830"/>
    </row>
    <row r="164" spans="1:23" s="270" customFormat="1" ht="9" customHeight="1" x14ac:dyDescent="0.25">
      <c r="A164" s="831" t="s">
        <v>878</v>
      </c>
      <c r="B164" s="832"/>
      <c r="C164" s="833" t="s">
        <v>879</v>
      </c>
      <c r="D164" s="834"/>
      <c r="E164" s="834"/>
      <c r="F164" s="834"/>
      <c r="G164" s="835"/>
      <c r="H164" s="279" t="s">
        <v>704</v>
      </c>
      <c r="I164" s="281">
        <f t="shared" ref="I164:K164" si="143">I170+I172+I181</f>
        <v>0</v>
      </c>
      <c r="J164" s="281">
        <f t="shared" si="143"/>
        <v>0</v>
      </c>
      <c r="K164" s="281">
        <f t="shared" si="143"/>
        <v>0</v>
      </c>
      <c r="L164" s="281">
        <f>L170+L172+L181</f>
        <v>0</v>
      </c>
      <c r="M164" s="281">
        <f t="shared" ref="M164:W164" si="144">M170+M172+M181</f>
        <v>0</v>
      </c>
      <c r="N164" s="281">
        <f t="shared" si="144"/>
        <v>0</v>
      </c>
      <c r="O164" s="281">
        <f t="shared" si="144"/>
        <v>0</v>
      </c>
      <c r="P164" s="281">
        <f t="shared" ref="P164:Q164" si="145">P170+P172+P181</f>
        <v>0</v>
      </c>
      <c r="Q164" s="281">
        <f t="shared" si="145"/>
        <v>0</v>
      </c>
      <c r="R164" s="281">
        <f t="shared" si="144"/>
        <v>0</v>
      </c>
      <c r="S164" s="281">
        <f t="shared" si="144"/>
        <v>0</v>
      </c>
      <c r="T164" s="281">
        <f t="shared" ref="T164:U164" si="146">T170+T172+T181</f>
        <v>0</v>
      </c>
      <c r="U164" s="281">
        <f t="shared" si="146"/>
        <v>0</v>
      </c>
      <c r="V164" s="281">
        <f t="shared" si="144"/>
        <v>0</v>
      </c>
      <c r="W164" s="281">
        <f t="shared" si="144"/>
        <v>0</v>
      </c>
    </row>
    <row r="165" spans="1:23" s="270" customFormat="1" ht="8.1" customHeight="1" x14ac:dyDescent="0.25">
      <c r="A165" s="812" t="s">
        <v>880</v>
      </c>
      <c r="B165" s="813"/>
      <c r="C165" s="814" t="s">
        <v>705</v>
      </c>
      <c r="D165" s="815"/>
      <c r="E165" s="815"/>
      <c r="F165" s="815"/>
      <c r="G165" s="816"/>
      <c r="H165" s="271" t="s">
        <v>704</v>
      </c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1"/>
    </row>
    <row r="166" spans="1:23" s="270" customFormat="1" ht="16.5" customHeight="1" x14ac:dyDescent="0.25">
      <c r="A166" s="812" t="s">
        <v>881</v>
      </c>
      <c r="B166" s="813"/>
      <c r="C166" s="847" t="s">
        <v>706</v>
      </c>
      <c r="D166" s="848"/>
      <c r="E166" s="848"/>
      <c r="F166" s="848"/>
      <c r="G166" s="849"/>
      <c r="H166" s="271" t="s">
        <v>704</v>
      </c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1"/>
    </row>
    <row r="167" spans="1:23" s="270" customFormat="1" ht="16.5" customHeight="1" x14ac:dyDescent="0.25">
      <c r="A167" s="812" t="s">
        <v>882</v>
      </c>
      <c r="B167" s="813"/>
      <c r="C167" s="847" t="s">
        <v>707</v>
      </c>
      <c r="D167" s="848"/>
      <c r="E167" s="848"/>
      <c r="F167" s="848"/>
      <c r="G167" s="849"/>
      <c r="H167" s="271" t="s">
        <v>704</v>
      </c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1"/>
    </row>
    <row r="168" spans="1:23" s="270" customFormat="1" ht="16.5" customHeight="1" x14ac:dyDescent="0.25">
      <c r="A168" s="812" t="s">
        <v>883</v>
      </c>
      <c r="B168" s="813"/>
      <c r="C168" s="847" t="s">
        <v>708</v>
      </c>
      <c r="D168" s="848"/>
      <c r="E168" s="848"/>
      <c r="F168" s="848"/>
      <c r="G168" s="849"/>
      <c r="H168" s="271" t="s">
        <v>704</v>
      </c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1"/>
    </row>
    <row r="169" spans="1:23" s="270" customFormat="1" ht="8.1" customHeight="1" x14ac:dyDescent="0.25">
      <c r="A169" s="812" t="s">
        <v>884</v>
      </c>
      <c r="B169" s="813"/>
      <c r="C169" s="814" t="s">
        <v>709</v>
      </c>
      <c r="D169" s="815"/>
      <c r="E169" s="815"/>
      <c r="F169" s="815"/>
      <c r="G169" s="816"/>
      <c r="H169" s="271" t="s">
        <v>704</v>
      </c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1"/>
    </row>
    <row r="170" spans="1:23" s="270" customFormat="1" ht="8.1" customHeight="1" x14ac:dyDescent="0.25">
      <c r="A170" s="817" t="s">
        <v>885</v>
      </c>
      <c r="B170" s="818"/>
      <c r="C170" s="819" t="s">
        <v>710</v>
      </c>
      <c r="D170" s="820"/>
      <c r="E170" s="820"/>
      <c r="F170" s="820"/>
      <c r="G170" s="821"/>
      <c r="H170" s="274" t="s">
        <v>704</v>
      </c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</row>
    <row r="171" spans="1:23" s="270" customFormat="1" ht="8.1" customHeight="1" x14ac:dyDescent="0.25">
      <c r="A171" s="812" t="s">
        <v>886</v>
      </c>
      <c r="B171" s="813"/>
      <c r="C171" s="814" t="s">
        <v>712</v>
      </c>
      <c r="D171" s="815"/>
      <c r="E171" s="815"/>
      <c r="F171" s="815"/>
      <c r="G171" s="816"/>
      <c r="H171" s="271" t="s">
        <v>704</v>
      </c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1"/>
    </row>
    <row r="172" spans="1:23" s="270" customFormat="1" ht="8.1" customHeight="1" x14ac:dyDescent="0.25">
      <c r="A172" s="817" t="s">
        <v>887</v>
      </c>
      <c r="B172" s="818"/>
      <c r="C172" s="819" t="s">
        <v>714</v>
      </c>
      <c r="D172" s="820"/>
      <c r="E172" s="820"/>
      <c r="F172" s="820"/>
      <c r="G172" s="821"/>
      <c r="H172" s="274" t="s">
        <v>704</v>
      </c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</row>
    <row r="173" spans="1:23" s="270" customFormat="1" ht="8.1" customHeight="1" x14ac:dyDescent="0.25">
      <c r="A173" s="812" t="s">
        <v>888</v>
      </c>
      <c r="B173" s="813"/>
      <c r="C173" s="814" t="s">
        <v>715</v>
      </c>
      <c r="D173" s="815"/>
      <c r="E173" s="815"/>
      <c r="F173" s="815"/>
      <c r="G173" s="816"/>
      <c r="H173" s="271" t="s">
        <v>704</v>
      </c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1"/>
    </row>
    <row r="174" spans="1:23" s="270" customFormat="1" ht="8.1" customHeight="1" x14ac:dyDescent="0.25">
      <c r="A174" s="812" t="s">
        <v>889</v>
      </c>
      <c r="B174" s="813"/>
      <c r="C174" s="814" t="s">
        <v>717</v>
      </c>
      <c r="D174" s="815"/>
      <c r="E174" s="815"/>
      <c r="F174" s="815"/>
      <c r="G174" s="816"/>
      <c r="H174" s="271" t="s">
        <v>704</v>
      </c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1"/>
    </row>
    <row r="175" spans="1:23" s="270" customFormat="1" ht="16.5" customHeight="1" x14ac:dyDescent="0.25">
      <c r="A175" s="812" t="s">
        <v>890</v>
      </c>
      <c r="B175" s="813"/>
      <c r="C175" s="814" t="s">
        <v>719</v>
      </c>
      <c r="D175" s="815"/>
      <c r="E175" s="815"/>
      <c r="F175" s="815"/>
      <c r="G175" s="816"/>
      <c r="H175" s="271" t="s">
        <v>704</v>
      </c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1"/>
    </row>
    <row r="176" spans="1:23" s="270" customFormat="1" ht="8.1" customHeight="1" x14ac:dyDescent="0.25">
      <c r="A176" s="812" t="s">
        <v>891</v>
      </c>
      <c r="B176" s="813"/>
      <c r="C176" s="847" t="s">
        <v>721</v>
      </c>
      <c r="D176" s="848"/>
      <c r="E176" s="848"/>
      <c r="F176" s="848"/>
      <c r="G176" s="849"/>
      <c r="H176" s="271" t="s">
        <v>704</v>
      </c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1"/>
    </row>
    <row r="177" spans="1:23" s="270" customFormat="1" ht="8.1" customHeight="1" x14ac:dyDescent="0.25">
      <c r="A177" s="812" t="s">
        <v>892</v>
      </c>
      <c r="B177" s="813"/>
      <c r="C177" s="847" t="s">
        <v>723</v>
      </c>
      <c r="D177" s="848"/>
      <c r="E177" s="848"/>
      <c r="F177" s="848"/>
      <c r="G177" s="849"/>
      <c r="H177" s="271" t="s">
        <v>704</v>
      </c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1"/>
    </row>
    <row r="178" spans="1:23" s="270" customFormat="1" ht="16.5" customHeight="1" x14ac:dyDescent="0.25">
      <c r="A178" s="812" t="s">
        <v>893</v>
      </c>
      <c r="B178" s="813"/>
      <c r="C178" s="814" t="s">
        <v>894</v>
      </c>
      <c r="D178" s="815"/>
      <c r="E178" s="815"/>
      <c r="F178" s="815"/>
      <c r="G178" s="816"/>
      <c r="H178" s="271" t="s">
        <v>704</v>
      </c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1"/>
    </row>
    <row r="179" spans="1:23" s="270" customFormat="1" ht="8.1" customHeight="1" x14ac:dyDescent="0.25">
      <c r="A179" s="812" t="s">
        <v>895</v>
      </c>
      <c r="B179" s="813"/>
      <c r="C179" s="847" t="s">
        <v>896</v>
      </c>
      <c r="D179" s="848"/>
      <c r="E179" s="848"/>
      <c r="F179" s="848"/>
      <c r="G179" s="849"/>
      <c r="H179" s="271" t="s">
        <v>704</v>
      </c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1"/>
    </row>
    <row r="180" spans="1:23" s="270" customFormat="1" ht="8.1" customHeight="1" x14ac:dyDescent="0.25">
      <c r="A180" s="812" t="s">
        <v>897</v>
      </c>
      <c r="B180" s="813"/>
      <c r="C180" s="847" t="s">
        <v>898</v>
      </c>
      <c r="D180" s="848"/>
      <c r="E180" s="848"/>
      <c r="F180" s="848"/>
      <c r="G180" s="849"/>
      <c r="H180" s="271" t="s">
        <v>704</v>
      </c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1"/>
    </row>
    <row r="181" spans="1:23" s="270" customFormat="1" ht="8.1" customHeight="1" x14ac:dyDescent="0.25">
      <c r="A181" s="817" t="s">
        <v>899</v>
      </c>
      <c r="B181" s="818"/>
      <c r="C181" s="819" t="s">
        <v>725</v>
      </c>
      <c r="D181" s="820"/>
      <c r="E181" s="820"/>
      <c r="F181" s="820"/>
      <c r="G181" s="821"/>
      <c r="H181" s="274" t="s">
        <v>704</v>
      </c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</row>
    <row r="182" spans="1:23" s="270" customFormat="1" ht="9" customHeight="1" x14ac:dyDescent="0.25">
      <c r="A182" s="850" t="s">
        <v>900</v>
      </c>
      <c r="B182" s="851"/>
      <c r="C182" s="852" t="s">
        <v>901</v>
      </c>
      <c r="D182" s="853"/>
      <c r="E182" s="853"/>
      <c r="F182" s="853"/>
      <c r="G182" s="854"/>
      <c r="H182" s="279" t="s">
        <v>704</v>
      </c>
      <c r="I182" s="281">
        <f t="shared" ref="I182:W182" si="147">I183+I184+I191+I192+I193+I195+I196+I197+I199</f>
        <v>0</v>
      </c>
      <c r="J182" s="281">
        <f t="shared" si="147"/>
        <v>0</v>
      </c>
      <c r="K182" s="281">
        <f t="shared" si="147"/>
        <v>0</v>
      </c>
      <c r="L182" s="281">
        <f t="shared" si="147"/>
        <v>0</v>
      </c>
      <c r="M182" s="281">
        <f t="shared" si="147"/>
        <v>0</v>
      </c>
      <c r="N182" s="281">
        <f t="shared" si="147"/>
        <v>0</v>
      </c>
      <c r="O182" s="281">
        <f t="shared" si="147"/>
        <v>0</v>
      </c>
      <c r="P182" s="281">
        <f t="shared" si="147"/>
        <v>0</v>
      </c>
      <c r="Q182" s="281">
        <f t="shared" si="147"/>
        <v>0</v>
      </c>
      <c r="R182" s="281">
        <f t="shared" si="147"/>
        <v>0</v>
      </c>
      <c r="S182" s="281">
        <f t="shared" si="147"/>
        <v>0</v>
      </c>
      <c r="T182" s="281">
        <f t="shared" si="147"/>
        <v>0</v>
      </c>
      <c r="U182" s="281">
        <f t="shared" si="147"/>
        <v>0</v>
      </c>
      <c r="V182" s="281">
        <f t="shared" si="147"/>
        <v>0</v>
      </c>
      <c r="W182" s="281">
        <f t="shared" si="147"/>
        <v>0</v>
      </c>
    </row>
    <row r="183" spans="1:23" s="270" customFormat="1" ht="8.1" customHeight="1" x14ac:dyDescent="0.25">
      <c r="A183" s="817" t="s">
        <v>902</v>
      </c>
      <c r="B183" s="818"/>
      <c r="C183" s="819" t="s">
        <v>903</v>
      </c>
      <c r="D183" s="820"/>
      <c r="E183" s="820"/>
      <c r="F183" s="820"/>
      <c r="G183" s="821"/>
      <c r="H183" s="274" t="s">
        <v>704</v>
      </c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4"/>
    </row>
    <row r="184" spans="1:23" s="270" customFormat="1" ht="8.1" customHeight="1" x14ac:dyDescent="0.25">
      <c r="A184" s="817" t="s">
        <v>904</v>
      </c>
      <c r="B184" s="818"/>
      <c r="C184" s="819" t="s">
        <v>905</v>
      </c>
      <c r="D184" s="820"/>
      <c r="E184" s="820"/>
      <c r="F184" s="820"/>
      <c r="G184" s="821"/>
      <c r="H184" s="274" t="s">
        <v>704</v>
      </c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</row>
    <row r="185" spans="1:23" s="270" customFormat="1" ht="8.1" customHeight="1" x14ac:dyDescent="0.25">
      <c r="A185" s="812" t="s">
        <v>906</v>
      </c>
      <c r="B185" s="813"/>
      <c r="C185" s="847" t="s">
        <v>907</v>
      </c>
      <c r="D185" s="848"/>
      <c r="E185" s="848"/>
      <c r="F185" s="848"/>
      <c r="G185" s="849"/>
      <c r="H185" s="271" t="s">
        <v>704</v>
      </c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1"/>
    </row>
    <row r="186" spans="1:23" s="270" customFormat="1" ht="8.1" customHeight="1" x14ac:dyDescent="0.25">
      <c r="A186" s="812" t="s">
        <v>908</v>
      </c>
      <c r="B186" s="813"/>
      <c r="C186" s="847" t="s">
        <v>909</v>
      </c>
      <c r="D186" s="848"/>
      <c r="E186" s="848"/>
      <c r="F186" s="848"/>
      <c r="G186" s="849"/>
      <c r="H186" s="271" t="s">
        <v>704</v>
      </c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1"/>
    </row>
    <row r="187" spans="1:23" s="270" customFormat="1" ht="8.1" customHeight="1" x14ac:dyDescent="0.25">
      <c r="A187" s="817" t="s">
        <v>910</v>
      </c>
      <c r="B187" s="818"/>
      <c r="C187" s="867" t="s">
        <v>911</v>
      </c>
      <c r="D187" s="868"/>
      <c r="E187" s="868"/>
      <c r="F187" s="868"/>
      <c r="G187" s="869"/>
      <c r="H187" s="274" t="s">
        <v>704</v>
      </c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</row>
    <row r="188" spans="1:23" s="270" customFormat="1" ht="16.5" customHeight="1" x14ac:dyDescent="0.25">
      <c r="A188" s="812" t="s">
        <v>912</v>
      </c>
      <c r="B188" s="813"/>
      <c r="C188" s="814" t="s">
        <v>913</v>
      </c>
      <c r="D188" s="815"/>
      <c r="E188" s="815"/>
      <c r="F188" s="815"/>
      <c r="G188" s="816"/>
      <c r="H188" s="271" t="s">
        <v>704</v>
      </c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1"/>
    </row>
    <row r="189" spans="1:23" s="270" customFormat="1" ht="16.5" customHeight="1" x14ac:dyDescent="0.25">
      <c r="A189" s="812" t="s">
        <v>914</v>
      </c>
      <c r="B189" s="813"/>
      <c r="C189" s="814" t="s">
        <v>915</v>
      </c>
      <c r="D189" s="815"/>
      <c r="E189" s="815"/>
      <c r="F189" s="815"/>
      <c r="G189" s="816"/>
      <c r="H189" s="271" t="s">
        <v>704</v>
      </c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1"/>
    </row>
    <row r="190" spans="1:23" s="270" customFormat="1" ht="8.1" customHeight="1" x14ac:dyDescent="0.25">
      <c r="A190" s="812" t="s">
        <v>916</v>
      </c>
      <c r="B190" s="813"/>
      <c r="C190" s="814" t="s">
        <v>917</v>
      </c>
      <c r="D190" s="815"/>
      <c r="E190" s="815"/>
      <c r="F190" s="815"/>
      <c r="G190" s="816"/>
      <c r="H190" s="271" t="s">
        <v>704</v>
      </c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1"/>
    </row>
    <row r="191" spans="1:23" s="270" customFormat="1" ht="8.1" customHeight="1" x14ac:dyDescent="0.25">
      <c r="A191" s="817" t="s">
        <v>918</v>
      </c>
      <c r="B191" s="818"/>
      <c r="C191" s="819" t="s">
        <v>919</v>
      </c>
      <c r="D191" s="820"/>
      <c r="E191" s="820"/>
      <c r="F191" s="820"/>
      <c r="G191" s="821"/>
      <c r="H191" s="274" t="s">
        <v>704</v>
      </c>
      <c r="I191" s="276"/>
      <c r="J191" s="276"/>
      <c r="K191" s="275"/>
      <c r="L191" s="275"/>
      <c r="M191" s="276"/>
      <c r="N191" s="275"/>
      <c r="O191" s="276"/>
      <c r="P191" s="275"/>
      <c r="Q191" s="275"/>
      <c r="R191" s="275"/>
      <c r="S191" s="275"/>
      <c r="T191" s="275"/>
      <c r="U191" s="275"/>
      <c r="V191" s="276"/>
      <c r="W191" s="276"/>
    </row>
    <row r="192" spans="1:23" s="270" customFormat="1" ht="8.1" customHeight="1" x14ac:dyDescent="0.25">
      <c r="A192" s="817" t="s">
        <v>920</v>
      </c>
      <c r="B192" s="818"/>
      <c r="C192" s="819" t="s">
        <v>921</v>
      </c>
      <c r="D192" s="820"/>
      <c r="E192" s="820"/>
      <c r="F192" s="820"/>
      <c r="G192" s="821"/>
      <c r="H192" s="274" t="s">
        <v>704</v>
      </c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</row>
    <row r="193" spans="1:23" s="270" customFormat="1" ht="8.1" customHeight="1" x14ac:dyDescent="0.25">
      <c r="A193" s="817" t="s">
        <v>922</v>
      </c>
      <c r="B193" s="818"/>
      <c r="C193" s="819" t="s">
        <v>923</v>
      </c>
      <c r="D193" s="820"/>
      <c r="E193" s="820"/>
      <c r="F193" s="820"/>
      <c r="G193" s="821"/>
      <c r="H193" s="274" t="s">
        <v>704</v>
      </c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</row>
    <row r="194" spans="1:23" s="270" customFormat="1" ht="8.1" customHeight="1" x14ac:dyDescent="0.25">
      <c r="A194" s="817" t="s">
        <v>924</v>
      </c>
      <c r="B194" s="818"/>
      <c r="C194" s="867" t="s">
        <v>925</v>
      </c>
      <c r="D194" s="868"/>
      <c r="E194" s="868"/>
      <c r="F194" s="868"/>
      <c r="G194" s="869"/>
      <c r="H194" s="274" t="s">
        <v>704</v>
      </c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</row>
    <row r="195" spans="1:23" s="270" customFormat="1" ht="8.1" customHeight="1" x14ac:dyDescent="0.25">
      <c r="A195" s="817" t="s">
        <v>926</v>
      </c>
      <c r="B195" s="818"/>
      <c r="C195" s="819" t="s">
        <v>927</v>
      </c>
      <c r="D195" s="820"/>
      <c r="E195" s="820"/>
      <c r="F195" s="820"/>
      <c r="G195" s="821"/>
      <c r="H195" s="274" t="s">
        <v>704</v>
      </c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</row>
    <row r="196" spans="1:23" s="270" customFormat="1" ht="8.1" customHeight="1" x14ac:dyDescent="0.25">
      <c r="A196" s="817" t="s">
        <v>928</v>
      </c>
      <c r="B196" s="818"/>
      <c r="C196" s="819" t="s">
        <v>929</v>
      </c>
      <c r="D196" s="820"/>
      <c r="E196" s="820"/>
      <c r="F196" s="820"/>
      <c r="G196" s="821"/>
      <c r="H196" s="274" t="s">
        <v>704</v>
      </c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</row>
    <row r="197" spans="1:23" s="270" customFormat="1" ht="8.1" customHeight="1" x14ac:dyDescent="0.25">
      <c r="A197" s="817" t="s">
        <v>930</v>
      </c>
      <c r="B197" s="818"/>
      <c r="C197" s="819" t="s">
        <v>931</v>
      </c>
      <c r="D197" s="820"/>
      <c r="E197" s="820"/>
      <c r="F197" s="820"/>
      <c r="G197" s="821"/>
      <c r="H197" s="274" t="s">
        <v>704</v>
      </c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</row>
    <row r="198" spans="1:23" s="270" customFormat="1" ht="16.5" customHeight="1" x14ac:dyDescent="0.25">
      <c r="A198" s="812" t="s">
        <v>932</v>
      </c>
      <c r="B198" s="813"/>
      <c r="C198" s="814" t="s">
        <v>933</v>
      </c>
      <c r="D198" s="815"/>
      <c r="E198" s="815"/>
      <c r="F198" s="815"/>
      <c r="G198" s="816"/>
      <c r="H198" s="271" t="s">
        <v>704</v>
      </c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1"/>
    </row>
    <row r="199" spans="1:23" s="270" customFormat="1" ht="8.1" customHeight="1" x14ac:dyDescent="0.25">
      <c r="A199" s="817" t="s">
        <v>934</v>
      </c>
      <c r="B199" s="818"/>
      <c r="C199" s="819" t="s">
        <v>935</v>
      </c>
      <c r="D199" s="820"/>
      <c r="E199" s="820"/>
      <c r="F199" s="820"/>
      <c r="G199" s="821"/>
      <c r="H199" s="274" t="s">
        <v>704</v>
      </c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</row>
    <row r="200" spans="1:23" s="270" customFormat="1" ht="9" customHeight="1" x14ac:dyDescent="0.25">
      <c r="A200" s="812" t="s">
        <v>936</v>
      </c>
      <c r="B200" s="813"/>
      <c r="C200" s="888" t="s">
        <v>937</v>
      </c>
      <c r="D200" s="889"/>
      <c r="E200" s="889"/>
      <c r="F200" s="889"/>
      <c r="G200" s="890"/>
      <c r="H200" s="271" t="s">
        <v>704</v>
      </c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1"/>
    </row>
    <row r="201" spans="1:23" s="270" customFormat="1" ht="8.1" customHeight="1" x14ac:dyDescent="0.25">
      <c r="A201" s="812" t="s">
        <v>938</v>
      </c>
      <c r="B201" s="813"/>
      <c r="C201" s="814" t="s">
        <v>939</v>
      </c>
      <c r="D201" s="815"/>
      <c r="E201" s="815"/>
      <c r="F201" s="815"/>
      <c r="G201" s="816"/>
      <c r="H201" s="271" t="s">
        <v>704</v>
      </c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1"/>
    </row>
    <row r="202" spans="1:23" s="270" customFormat="1" ht="8.1" customHeight="1" x14ac:dyDescent="0.25">
      <c r="A202" s="812" t="s">
        <v>940</v>
      </c>
      <c r="B202" s="813"/>
      <c r="C202" s="814" t="s">
        <v>941</v>
      </c>
      <c r="D202" s="815"/>
      <c r="E202" s="815"/>
      <c r="F202" s="815"/>
      <c r="G202" s="816"/>
      <c r="H202" s="271" t="s">
        <v>704</v>
      </c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1"/>
    </row>
    <row r="203" spans="1:23" s="270" customFormat="1" ht="16.5" customHeight="1" x14ac:dyDescent="0.25">
      <c r="A203" s="812" t="s">
        <v>942</v>
      </c>
      <c r="B203" s="813"/>
      <c r="C203" s="847" t="s">
        <v>943</v>
      </c>
      <c r="D203" s="848"/>
      <c r="E203" s="848"/>
      <c r="F203" s="848"/>
      <c r="G203" s="849"/>
      <c r="H203" s="271" t="s">
        <v>704</v>
      </c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1"/>
    </row>
    <row r="204" spans="1:23" s="270" customFormat="1" ht="8.1" customHeight="1" x14ac:dyDescent="0.25">
      <c r="A204" s="812" t="s">
        <v>944</v>
      </c>
      <c r="B204" s="813"/>
      <c r="C204" s="864" t="s">
        <v>945</v>
      </c>
      <c r="D204" s="865"/>
      <c r="E204" s="865"/>
      <c r="F204" s="865"/>
      <c r="G204" s="866"/>
      <c r="H204" s="271" t="s">
        <v>704</v>
      </c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1"/>
    </row>
    <row r="205" spans="1:23" s="270" customFormat="1" ht="8.1" customHeight="1" x14ac:dyDescent="0.25">
      <c r="A205" s="812" t="s">
        <v>946</v>
      </c>
      <c r="B205" s="813"/>
      <c r="C205" s="864" t="s">
        <v>947</v>
      </c>
      <c r="D205" s="865"/>
      <c r="E205" s="865"/>
      <c r="F205" s="865"/>
      <c r="G205" s="866"/>
      <c r="H205" s="271" t="s">
        <v>704</v>
      </c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1"/>
    </row>
    <row r="206" spans="1:23" s="270" customFormat="1" ht="8.1" customHeight="1" x14ac:dyDescent="0.25">
      <c r="A206" s="812" t="s">
        <v>948</v>
      </c>
      <c r="B206" s="813"/>
      <c r="C206" s="814" t="s">
        <v>949</v>
      </c>
      <c r="D206" s="815"/>
      <c r="E206" s="815"/>
      <c r="F206" s="815"/>
      <c r="G206" s="816"/>
      <c r="H206" s="271" t="s">
        <v>704</v>
      </c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1"/>
    </row>
    <row r="207" spans="1:23" s="270" customFormat="1" x14ac:dyDescent="0.25">
      <c r="A207" s="850" t="s">
        <v>950</v>
      </c>
      <c r="B207" s="851"/>
      <c r="C207" s="852" t="s">
        <v>951</v>
      </c>
      <c r="D207" s="853"/>
      <c r="E207" s="853"/>
      <c r="F207" s="853"/>
      <c r="G207" s="854"/>
      <c r="H207" s="279" t="s">
        <v>704</v>
      </c>
      <c r="I207" s="281">
        <f t="shared" ref="I207" si="148">I208</f>
        <v>0</v>
      </c>
      <c r="J207" s="281">
        <f t="shared" ref="J207:W207" si="149">J208</f>
        <v>0</v>
      </c>
      <c r="K207" s="281">
        <f t="shared" si="149"/>
        <v>0</v>
      </c>
      <c r="L207" s="281">
        <f>L208</f>
        <v>0</v>
      </c>
      <c r="M207" s="281">
        <f t="shared" si="149"/>
        <v>0</v>
      </c>
      <c r="N207" s="281">
        <f t="shared" si="149"/>
        <v>0</v>
      </c>
      <c r="O207" s="281">
        <f t="shared" si="149"/>
        <v>0</v>
      </c>
      <c r="P207" s="281">
        <f t="shared" si="149"/>
        <v>0</v>
      </c>
      <c r="Q207" s="281">
        <f t="shared" si="149"/>
        <v>0</v>
      </c>
      <c r="R207" s="281">
        <f t="shared" si="149"/>
        <v>0</v>
      </c>
      <c r="S207" s="281">
        <f t="shared" si="149"/>
        <v>0</v>
      </c>
      <c r="T207" s="281">
        <f t="shared" si="149"/>
        <v>0</v>
      </c>
      <c r="U207" s="281">
        <f t="shared" si="149"/>
        <v>0</v>
      </c>
      <c r="V207" s="281">
        <f t="shared" si="149"/>
        <v>0</v>
      </c>
      <c r="W207" s="281">
        <f t="shared" si="149"/>
        <v>0</v>
      </c>
    </row>
    <row r="208" spans="1:23" s="270" customFormat="1" ht="8.1" customHeight="1" x14ac:dyDescent="0.25">
      <c r="A208" s="817" t="s">
        <v>952</v>
      </c>
      <c r="B208" s="818"/>
      <c r="C208" s="819" t="s">
        <v>953</v>
      </c>
      <c r="D208" s="820"/>
      <c r="E208" s="820"/>
      <c r="F208" s="820"/>
      <c r="G208" s="821"/>
      <c r="H208" s="274" t="s">
        <v>704</v>
      </c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</row>
    <row r="209" spans="1:23" s="270" customFormat="1" ht="8.1" customHeight="1" x14ac:dyDescent="0.25">
      <c r="A209" s="817" t="s">
        <v>954</v>
      </c>
      <c r="B209" s="818"/>
      <c r="C209" s="867" t="s">
        <v>955</v>
      </c>
      <c r="D209" s="868"/>
      <c r="E209" s="868"/>
      <c r="F209" s="868"/>
      <c r="G209" s="869"/>
      <c r="H209" s="274" t="s">
        <v>704</v>
      </c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</row>
    <row r="210" spans="1:23" s="270" customFormat="1" ht="8.1" customHeight="1" x14ac:dyDescent="0.25">
      <c r="A210" s="817" t="s">
        <v>956</v>
      </c>
      <c r="B210" s="818"/>
      <c r="C210" s="867" t="s">
        <v>957</v>
      </c>
      <c r="D210" s="868"/>
      <c r="E210" s="868"/>
      <c r="F210" s="868"/>
      <c r="G210" s="869"/>
      <c r="H210" s="274" t="s">
        <v>704</v>
      </c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</row>
    <row r="211" spans="1:23" s="270" customFormat="1" ht="8.1" customHeight="1" x14ac:dyDescent="0.25">
      <c r="A211" s="812" t="s">
        <v>958</v>
      </c>
      <c r="B211" s="813"/>
      <c r="C211" s="847" t="s">
        <v>959</v>
      </c>
      <c r="D211" s="848"/>
      <c r="E211" s="848"/>
      <c r="F211" s="848"/>
      <c r="G211" s="849"/>
      <c r="H211" s="271" t="s">
        <v>704</v>
      </c>
      <c r="I211" s="289"/>
      <c r="J211" s="289"/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6"/>
    </row>
    <row r="212" spans="1:23" s="270" customFormat="1" ht="8.1" customHeight="1" x14ac:dyDescent="0.25">
      <c r="A212" s="817" t="s">
        <v>960</v>
      </c>
      <c r="B212" s="818"/>
      <c r="C212" s="867" t="s">
        <v>961</v>
      </c>
      <c r="D212" s="868"/>
      <c r="E212" s="868"/>
      <c r="F212" s="868"/>
      <c r="G212" s="869"/>
      <c r="H212" s="274" t="s">
        <v>704</v>
      </c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</row>
    <row r="213" spans="1:23" s="270" customFormat="1" ht="8.1" customHeight="1" x14ac:dyDescent="0.25">
      <c r="A213" s="812" t="s">
        <v>962</v>
      </c>
      <c r="B213" s="813"/>
      <c r="C213" s="847" t="s">
        <v>963</v>
      </c>
      <c r="D213" s="848"/>
      <c r="E213" s="848"/>
      <c r="F213" s="848"/>
      <c r="G213" s="849"/>
      <c r="H213" s="271" t="s">
        <v>704</v>
      </c>
      <c r="I213" s="289"/>
      <c r="J213" s="289"/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6"/>
    </row>
    <row r="214" spans="1:23" s="270" customFormat="1" ht="8.1" customHeight="1" x14ac:dyDescent="0.25">
      <c r="A214" s="817" t="s">
        <v>964</v>
      </c>
      <c r="B214" s="818"/>
      <c r="C214" s="867" t="s">
        <v>965</v>
      </c>
      <c r="D214" s="868"/>
      <c r="E214" s="868"/>
      <c r="F214" s="868"/>
      <c r="G214" s="869"/>
      <c r="H214" s="274" t="s">
        <v>704</v>
      </c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95"/>
    </row>
    <row r="215" spans="1:23" s="270" customFormat="1" ht="8.1" customHeight="1" x14ac:dyDescent="0.25">
      <c r="A215" s="812" t="s">
        <v>966</v>
      </c>
      <c r="B215" s="813"/>
      <c r="C215" s="814" t="s">
        <v>967</v>
      </c>
      <c r="D215" s="815"/>
      <c r="E215" s="815"/>
      <c r="F215" s="815"/>
      <c r="G215" s="816"/>
      <c r="H215" s="271" t="s">
        <v>704</v>
      </c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1"/>
    </row>
    <row r="216" spans="1:23" s="270" customFormat="1" ht="8.1" customHeight="1" x14ac:dyDescent="0.25">
      <c r="A216" s="812" t="s">
        <v>968</v>
      </c>
      <c r="B216" s="813"/>
      <c r="C216" s="814" t="s">
        <v>969</v>
      </c>
      <c r="D216" s="815"/>
      <c r="E216" s="815"/>
      <c r="F216" s="815"/>
      <c r="G216" s="816"/>
      <c r="H216" s="271" t="s">
        <v>704</v>
      </c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1"/>
    </row>
    <row r="217" spans="1:23" s="270" customFormat="1" ht="8.1" customHeight="1" x14ac:dyDescent="0.25">
      <c r="A217" s="812" t="s">
        <v>970</v>
      </c>
      <c r="B217" s="813"/>
      <c r="C217" s="814" t="s">
        <v>788</v>
      </c>
      <c r="D217" s="815"/>
      <c r="E217" s="815"/>
      <c r="F217" s="815"/>
      <c r="G217" s="816"/>
      <c r="H217" s="271" t="s">
        <v>73</v>
      </c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1"/>
    </row>
    <row r="218" spans="1:23" s="270" customFormat="1" ht="16.5" customHeight="1" x14ac:dyDescent="0.25">
      <c r="A218" s="812" t="s">
        <v>971</v>
      </c>
      <c r="B218" s="813"/>
      <c r="C218" s="847" t="s">
        <v>972</v>
      </c>
      <c r="D218" s="848"/>
      <c r="E218" s="848"/>
      <c r="F218" s="848"/>
      <c r="G218" s="849"/>
      <c r="H218" s="271" t="s">
        <v>704</v>
      </c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1"/>
    </row>
    <row r="219" spans="1:23" s="270" customFormat="1" x14ac:dyDescent="0.25">
      <c r="A219" s="850" t="s">
        <v>973</v>
      </c>
      <c r="B219" s="851"/>
      <c r="C219" s="852" t="s">
        <v>974</v>
      </c>
      <c r="D219" s="853"/>
      <c r="E219" s="853"/>
      <c r="F219" s="853"/>
      <c r="G219" s="854"/>
      <c r="H219" s="279" t="s">
        <v>704</v>
      </c>
      <c r="I219" s="280"/>
      <c r="J219" s="280"/>
      <c r="K219" s="280"/>
      <c r="L219" s="280"/>
      <c r="M219" s="280"/>
      <c r="N219" s="280"/>
      <c r="O219" s="280"/>
      <c r="P219" s="280"/>
      <c r="Q219" s="280"/>
      <c r="R219" s="280"/>
      <c r="S219" s="280"/>
      <c r="T219" s="280"/>
      <c r="U219" s="280"/>
      <c r="V219" s="280"/>
      <c r="W219" s="279"/>
    </row>
    <row r="220" spans="1:23" s="270" customFormat="1" ht="8.1" customHeight="1" x14ac:dyDescent="0.25">
      <c r="A220" s="812" t="s">
        <v>975</v>
      </c>
      <c r="B220" s="813"/>
      <c r="C220" s="814" t="s">
        <v>976</v>
      </c>
      <c r="D220" s="815"/>
      <c r="E220" s="815"/>
      <c r="F220" s="815"/>
      <c r="G220" s="816"/>
      <c r="H220" s="271" t="s">
        <v>704</v>
      </c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1"/>
    </row>
    <row r="221" spans="1:23" s="270" customFormat="1" ht="8.1" customHeight="1" x14ac:dyDescent="0.25">
      <c r="A221" s="812" t="s">
        <v>977</v>
      </c>
      <c r="B221" s="813"/>
      <c r="C221" s="814" t="s">
        <v>978</v>
      </c>
      <c r="D221" s="815"/>
      <c r="E221" s="815"/>
      <c r="F221" s="815"/>
      <c r="G221" s="816"/>
      <c r="H221" s="271" t="s">
        <v>704</v>
      </c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1"/>
    </row>
    <row r="222" spans="1:23" s="270" customFormat="1" ht="8.1" customHeight="1" x14ac:dyDescent="0.25">
      <c r="A222" s="812" t="s">
        <v>979</v>
      </c>
      <c r="B222" s="813"/>
      <c r="C222" s="847" t="s">
        <v>980</v>
      </c>
      <c r="D222" s="848"/>
      <c r="E222" s="848"/>
      <c r="F222" s="848"/>
      <c r="G222" s="849"/>
      <c r="H222" s="271" t="s">
        <v>704</v>
      </c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1"/>
    </row>
    <row r="223" spans="1:23" s="270" customFormat="1" ht="8.1" customHeight="1" x14ac:dyDescent="0.25">
      <c r="A223" s="812" t="s">
        <v>981</v>
      </c>
      <c r="B223" s="813"/>
      <c r="C223" s="847" t="s">
        <v>982</v>
      </c>
      <c r="D223" s="848"/>
      <c r="E223" s="848"/>
      <c r="F223" s="848"/>
      <c r="G223" s="849"/>
      <c r="H223" s="271" t="s">
        <v>704</v>
      </c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1"/>
    </row>
    <row r="224" spans="1:23" s="270" customFormat="1" ht="8.1" customHeight="1" x14ac:dyDescent="0.25">
      <c r="A224" s="812" t="s">
        <v>983</v>
      </c>
      <c r="B224" s="813"/>
      <c r="C224" s="847" t="s">
        <v>984</v>
      </c>
      <c r="D224" s="848"/>
      <c r="E224" s="848"/>
      <c r="F224" s="848"/>
      <c r="G224" s="849"/>
      <c r="H224" s="271" t="s">
        <v>704</v>
      </c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1"/>
    </row>
    <row r="225" spans="1:23" s="270" customFormat="1" ht="8.1" customHeight="1" x14ac:dyDescent="0.25">
      <c r="A225" s="812" t="s">
        <v>985</v>
      </c>
      <c r="B225" s="813"/>
      <c r="C225" s="814" t="s">
        <v>986</v>
      </c>
      <c r="D225" s="815"/>
      <c r="E225" s="815"/>
      <c r="F225" s="815"/>
      <c r="G225" s="816"/>
      <c r="H225" s="271" t="s">
        <v>704</v>
      </c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1"/>
    </row>
    <row r="226" spans="1:23" s="270" customFormat="1" ht="8.1" customHeight="1" x14ac:dyDescent="0.25">
      <c r="A226" s="812" t="s">
        <v>987</v>
      </c>
      <c r="B226" s="813"/>
      <c r="C226" s="814" t="s">
        <v>988</v>
      </c>
      <c r="D226" s="815"/>
      <c r="E226" s="815"/>
      <c r="F226" s="815"/>
      <c r="G226" s="816"/>
      <c r="H226" s="271" t="s">
        <v>704</v>
      </c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1"/>
    </row>
    <row r="227" spans="1:23" s="270" customFormat="1" ht="8.1" customHeight="1" x14ac:dyDescent="0.25">
      <c r="A227" s="812" t="s">
        <v>989</v>
      </c>
      <c r="B227" s="813"/>
      <c r="C227" s="847" t="s">
        <v>990</v>
      </c>
      <c r="D227" s="848"/>
      <c r="E227" s="848"/>
      <c r="F227" s="848"/>
      <c r="G227" s="849"/>
      <c r="H227" s="271" t="s">
        <v>704</v>
      </c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1"/>
    </row>
    <row r="228" spans="1:23" s="270" customFormat="1" ht="8.1" customHeight="1" x14ac:dyDescent="0.25">
      <c r="A228" s="812" t="s">
        <v>991</v>
      </c>
      <c r="B228" s="813"/>
      <c r="C228" s="847" t="s">
        <v>992</v>
      </c>
      <c r="D228" s="848"/>
      <c r="E228" s="848"/>
      <c r="F228" s="848"/>
      <c r="G228" s="849"/>
      <c r="H228" s="271" t="s">
        <v>704</v>
      </c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1"/>
    </row>
    <row r="229" spans="1:23" s="270" customFormat="1" ht="8.1" customHeight="1" x14ac:dyDescent="0.25">
      <c r="A229" s="812" t="s">
        <v>993</v>
      </c>
      <c r="B229" s="813"/>
      <c r="C229" s="814" t="s">
        <v>994</v>
      </c>
      <c r="D229" s="815"/>
      <c r="E229" s="815"/>
      <c r="F229" s="815"/>
      <c r="G229" s="816"/>
      <c r="H229" s="271" t="s">
        <v>704</v>
      </c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1"/>
    </row>
    <row r="230" spans="1:23" s="270" customFormat="1" ht="8.1" customHeight="1" x14ac:dyDescent="0.25">
      <c r="A230" s="812" t="s">
        <v>995</v>
      </c>
      <c r="B230" s="813"/>
      <c r="C230" s="814" t="s">
        <v>996</v>
      </c>
      <c r="D230" s="815"/>
      <c r="E230" s="815"/>
      <c r="F230" s="815"/>
      <c r="G230" s="816"/>
      <c r="H230" s="271" t="s">
        <v>704</v>
      </c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1"/>
    </row>
    <row r="231" spans="1:23" s="270" customFormat="1" ht="8.1" customHeight="1" x14ac:dyDescent="0.25">
      <c r="A231" s="812" t="s">
        <v>997</v>
      </c>
      <c r="B231" s="813"/>
      <c r="C231" s="814" t="s">
        <v>998</v>
      </c>
      <c r="D231" s="815"/>
      <c r="E231" s="815"/>
      <c r="F231" s="815"/>
      <c r="G231" s="816"/>
      <c r="H231" s="271" t="s">
        <v>704</v>
      </c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1"/>
    </row>
    <row r="232" spans="1:23" s="270" customFormat="1" ht="8.1" customHeight="1" x14ac:dyDescent="0.25">
      <c r="A232" s="850" t="s">
        <v>999</v>
      </c>
      <c r="B232" s="851"/>
      <c r="C232" s="852" t="s">
        <v>1000</v>
      </c>
      <c r="D232" s="853"/>
      <c r="E232" s="853"/>
      <c r="F232" s="853"/>
      <c r="G232" s="854"/>
      <c r="H232" s="279" t="s">
        <v>704</v>
      </c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79"/>
    </row>
    <row r="233" spans="1:23" s="270" customFormat="1" ht="8.1" customHeight="1" x14ac:dyDescent="0.25">
      <c r="A233" s="812" t="s">
        <v>1001</v>
      </c>
      <c r="B233" s="813"/>
      <c r="C233" s="814" t="s">
        <v>1002</v>
      </c>
      <c r="D233" s="815"/>
      <c r="E233" s="815"/>
      <c r="F233" s="815"/>
      <c r="G233" s="816"/>
      <c r="H233" s="271" t="s">
        <v>704</v>
      </c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1"/>
    </row>
    <row r="234" spans="1:23" s="270" customFormat="1" ht="8.1" customHeight="1" x14ac:dyDescent="0.25">
      <c r="A234" s="812" t="s">
        <v>1003</v>
      </c>
      <c r="B234" s="813"/>
      <c r="C234" s="847" t="s">
        <v>980</v>
      </c>
      <c r="D234" s="848"/>
      <c r="E234" s="848"/>
      <c r="F234" s="848"/>
      <c r="G234" s="849"/>
      <c r="H234" s="271" t="s">
        <v>704</v>
      </c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1"/>
    </row>
    <row r="235" spans="1:23" s="270" customFormat="1" ht="8.1" customHeight="1" x14ac:dyDescent="0.25">
      <c r="A235" s="812" t="s">
        <v>1004</v>
      </c>
      <c r="B235" s="813"/>
      <c r="C235" s="847" t="s">
        <v>982</v>
      </c>
      <c r="D235" s="848"/>
      <c r="E235" s="848"/>
      <c r="F235" s="848"/>
      <c r="G235" s="849"/>
      <c r="H235" s="271" t="s">
        <v>704</v>
      </c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1"/>
    </row>
    <row r="236" spans="1:23" s="270" customFormat="1" ht="8.1" customHeight="1" x14ac:dyDescent="0.25">
      <c r="A236" s="812" t="s">
        <v>1005</v>
      </c>
      <c r="B236" s="813"/>
      <c r="C236" s="847" t="s">
        <v>984</v>
      </c>
      <c r="D236" s="848"/>
      <c r="E236" s="848"/>
      <c r="F236" s="848"/>
      <c r="G236" s="849"/>
      <c r="H236" s="271" t="s">
        <v>704</v>
      </c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1"/>
    </row>
    <row r="237" spans="1:23" s="270" customFormat="1" ht="8.1" customHeight="1" x14ac:dyDescent="0.25">
      <c r="A237" s="812" t="s">
        <v>1006</v>
      </c>
      <c r="B237" s="813"/>
      <c r="C237" s="814" t="s">
        <v>861</v>
      </c>
      <c r="D237" s="815"/>
      <c r="E237" s="815"/>
      <c r="F237" s="815"/>
      <c r="G237" s="816"/>
      <c r="H237" s="271" t="s">
        <v>704</v>
      </c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1"/>
    </row>
    <row r="238" spans="1:23" s="270" customFormat="1" ht="8.1" customHeight="1" x14ac:dyDescent="0.25">
      <c r="A238" s="812" t="s">
        <v>1007</v>
      </c>
      <c r="B238" s="813"/>
      <c r="C238" s="814" t="s">
        <v>1008</v>
      </c>
      <c r="D238" s="815"/>
      <c r="E238" s="815"/>
      <c r="F238" s="815"/>
      <c r="G238" s="816"/>
      <c r="H238" s="271" t="s">
        <v>704</v>
      </c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1"/>
    </row>
    <row r="239" spans="1:23" s="270" customFormat="1" ht="16.5" customHeight="1" x14ac:dyDescent="0.25">
      <c r="A239" s="850" t="s">
        <v>1009</v>
      </c>
      <c r="B239" s="851"/>
      <c r="C239" s="852" t="s">
        <v>1010</v>
      </c>
      <c r="D239" s="853"/>
      <c r="E239" s="853"/>
      <c r="F239" s="853"/>
      <c r="G239" s="854"/>
      <c r="H239" s="279" t="s">
        <v>704</v>
      </c>
      <c r="I239" s="281">
        <f t="shared" ref="I239:W239" si="150">I164-I182</f>
        <v>0</v>
      </c>
      <c r="J239" s="281">
        <f t="shared" si="150"/>
        <v>0</v>
      </c>
      <c r="K239" s="281">
        <f t="shared" si="150"/>
        <v>0</v>
      </c>
      <c r="L239" s="281">
        <f t="shared" si="150"/>
        <v>0</v>
      </c>
      <c r="M239" s="281">
        <f t="shared" si="150"/>
        <v>0</v>
      </c>
      <c r="N239" s="281">
        <f t="shared" si="150"/>
        <v>0</v>
      </c>
      <c r="O239" s="281">
        <f t="shared" si="150"/>
        <v>0</v>
      </c>
      <c r="P239" s="281">
        <f t="shared" si="150"/>
        <v>0</v>
      </c>
      <c r="Q239" s="281">
        <f t="shared" si="150"/>
        <v>0</v>
      </c>
      <c r="R239" s="281">
        <f t="shared" si="150"/>
        <v>0</v>
      </c>
      <c r="S239" s="281">
        <f t="shared" si="150"/>
        <v>0</v>
      </c>
      <c r="T239" s="281">
        <f t="shared" si="150"/>
        <v>0</v>
      </c>
      <c r="U239" s="281">
        <f t="shared" si="150"/>
        <v>0</v>
      </c>
      <c r="V239" s="281">
        <f t="shared" si="150"/>
        <v>0</v>
      </c>
      <c r="W239" s="281">
        <f t="shared" si="150"/>
        <v>0</v>
      </c>
    </row>
    <row r="240" spans="1:23" s="270" customFormat="1" ht="17.25" customHeight="1" x14ac:dyDescent="0.25">
      <c r="A240" s="850" t="s">
        <v>1011</v>
      </c>
      <c r="B240" s="851"/>
      <c r="C240" s="852" t="s">
        <v>1012</v>
      </c>
      <c r="D240" s="853"/>
      <c r="E240" s="853"/>
      <c r="F240" s="853"/>
      <c r="G240" s="854"/>
      <c r="H240" s="279" t="s">
        <v>704</v>
      </c>
      <c r="I240" s="281">
        <f t="shared" ref="I240:K240" si="151">I200-I207</f>
        <v>0</v>
      </c>
      <c r="J240" s="281">
        <f t="shared" si="151"/>
        <v>0</v>
      </c>
      <c r="K240" s="281">
        <f t="shared" si="151"/>
        <v>0</v>
      </c>
      <c r="L240" s="281">
        <f>L200-L207</f>
        <v>0</v>
      </c>
      <c r="M240" s="281">
        <f t="shared" ref="M240:W240" si="152">M200-M207</f>
        <v>0</v>
      </c>
      <c r="N240" s="281">
        <f t="shared" si="152"/>
        <v>0</v>
      </c>
      <c r="O240" s="281">
        <f t="shared" si="152"/>
        <v>0</v>
      </c>
      <c r="P240" s="281">
        <f>P200-P207</f>
        <v>0</v>
      </c>
      <c r="Q240" s="281">
        <f t="shared" ref="Q240" si="153">Q200-Q207</f>
        <v>0</v>
      </c>
      <c r="R240" s="281">
        <f>R200-R207</f>
        <v>0</v>
      </c>
      <c r="S240" s="281">
        <f t="shared" si="152"/>
        <v>0</v>
      </c>
      <c r="T240" s="281">
        <f>T200-T207</f>
        <v>0</v>
      </c>
      <c r="U240" s="281">
        <f t="shared" ref="U240" si="154">U200-U207</f>
        <v>0</v>
      </c>
      <c r="V240" s="281">
        <f t="shared" si="152"/>
        <v>0</v>
      </c>
      <c r="W240" s="281">
        <f t="shared" si="152"/>
        <v>0</v>
      </c>
    </row>
    <row r="241" spans="1:23" s="270" customFormat="1" ht="8.4499999999999993" customHeight="1" x14ac:dyDescent="0.25">
      <c r="A241" s="812" t="s">
        <v>1013</v>
      </c>
      <c r="B241" s="813"/>
      <c r="C241" s="814" t="s">
        <v>1014</v>
      </c>
      <c r="D241" s="815"/>
      <c r="E241" s="815"/>
      <c r="F241" s="815"/>
      <c r="G241" s="816"/>
      <c r="H241" s="271" t="s">
        <v>704</v>
      </c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1"/>
    </row>
    <row r="242" spans="1:23" s="270" customFormat="1" ht="8.4499999999999993" customHeight="1" x14ac:dyDescent="0.25">
      <c r="A242" s="812" t="s">
        <v>1015</v>
      </c>
      <c r="B242" s="813"/>
      <c r="C242" s="814" t="s">
        <v>1016</v>
      </c>
      <c r="D242" s="815"/>
      <c r="E242" s="815"/>
      <c r="F242" s="815"/>
      <c r="G242" s="816"/>
      <c r="H242" s="271" t="s">
        <v>704</v>
      </c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1"/>
    </row>
    <row r="243" spans="1:23" s="270" customFormat="1" ht="16.5" customHeight="1" x14ac:dyDescent="0.25">
      <c r="A243" s="812" t="s">
        <v>1017</v>
      </c>
      <c r="B243" s="813"/>
      <c r="C243" s="888" t="s">
        <v>1018</v>
      </c>
      <c r="D243" s="889"/>
      <c r="E243" s="889"/>
      <c r="F243" s="889"/>
      <c r="G243" s="890"/>
      <c r="H243" s="271" t="s">
        <v>704</v>
      </c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1"/>
    </row>
    <row r="244" spans="1:23" s="270" customFormat="1" ht="8.4499999999999993" customHeight="1" x14ac:dyDescent="0.25">
      <c r="A244" s="812" t="s">
        <v>1019</v>
      </c>
      <c r="B244" s="813"/>
      <c r="C244" s="814" t="s">
        <v>1020</v>
      </c>
      <c r="D244" s="815"/>
      <c r="E244" s="815"/>
      <c r="F244" s="815"/>
      <c r="G244" s="816"/>
      <c r="H244" s="271" t="s">
        <v>704</v>
      </c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1"/>
    </row>
    <row r="245" spans="1:23" s="270" customFormat="1" ht="8.4499999999999993" customHeight="1" x14ac:dyDescent="0.25">
      <c r="A245" s="812" t="s">
        <v>1021</v>
      </c>
      <c r="B245" s="813"/>
      <c r="C245" s="814" t="s">
        <v>1022</v>
      </c>
      <c r="D245" s="815"/>
      <c r="E245" s="815"/>
      <c r="F245" s="815"/>
      <c r="G245" s="816"/>
      <c r="H245" s="271" t="s">
        <v>704</v>
      </c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1"/>
    </row>
    <row r="246" spans="1:23" s="270" customFormat="1" ht="9" customHeight="1" x14ac:dyDescent="0.25">
      <c r="A246" s="850" t="s">
        <v>1023</v>
      </c>
      <c r="B246" s="851"/>
      <c r="C246" s="852" t="s">
        <v>1024</v>
      </c>
      <c r="D246" s="853"/>
      <c r="E246" s="853"/>
      <c r="F246" s="853"/>
      <c r="G246" s="854"/>
      <c r="H246" s="279" t="s">
        <v>704</v>
      </c>
      <c r="I246" s="281">
        <f>-(I164/1.2*0.2-(I182-I191-I192-I193)/1.2*0.2-I207/1.2*0.2)</f>
        <v>0</v>
      </c>
      <c r="J246" s="281">
        <v>-4.9854266666666653</v>
      </c>
      <c r="K246" s="281">
        <f t="shared" ref="K246:W246" si="155">-(K164/1.2*0.2-(K182-K191-K192-K193)/1.2*0.2-K207/1.2*0.2)</f>
        <v>0</v>
      </c>
      <c r="L246" s="281">
        <f t="shared" si="155"/>
        <v>0</v>
      </c>
      <c r="M246" s="281">
        <f t="shared" si="155"/>
        <v>0</v>
      </c>
      <c r="N246" s="281">
        <f t="shared" si="155"/>
        <v>0</v>
      </c>
      <c r="O246" s="281">
        <f t="shared" si="155"/>
        <v>0</v>
      </c>
      <c r="P246" s="281">
        <f t="shared" si="155"/>
        <v>0</v>
      </c>
      <c r="Q246" s="281">
        <f t="shared" si="155"/>
        <v>0</v>
      </c>
      <c r="R246" s="281">
        <f t="shared" si="155"/>
        <v>0</v>
      </c>
      <c r="S246" s="281">
        <f t="shared" si="155"/>
        <v>0</v>
      </c>
      <c r="T246" s="281">
        <f t="shared" si="155"/>
        <v>0</v>
      </c>
      <c r="U246" s="281">
        <f t="shared" si="155"/>
        <v>0</v>
      </c>
      <c r="V246" s="281">
        <f t="shared" si="155"/>
        <v>0</v>
      </c>
      <c r="W246" s="281">
        <f t="shared" si="155"/>
        <v>0</v>
      </c>
    </row>
    <row r="247" spans="1:23" s="270" customFormat="1" ht="9" customHeight="1" x14ac:dyDescent="0.25">
      <c r="A247" s="850" t="s">
        <v>1025</v>
      </c>
      <c r="B247" s="851"/>
      <c r="C247" s="852" t="s">
        <v>1026</v>
      </c>
      <c r="D247" s="853"/>
      <c r="E247" s="853"/>
      <c r="F247" s="853"/>
      <c r="G247" s="854"/>
      <c r="H247" s="279" t="s">
        <v>704</v>
      </c>
      <c r="I247" s="281">
        <f t="shared" ref="I247:V247" si="156">I239+I240+I243+I246</f>
        <v>0</v>
      </c>
      <c r="J247" s="281">
        <v>1.9999999999988916E-3</v>
      </c>
      <c r="K247" s="281">
        <f t="shared" si="156"/>
        <v>0</v>
      </c>
      <c r="L247" s="281">
        <f>L239+L240+L243+L246</f>
        <v>0</v>
      </c>
      <c r="M247" s="281">
        <f t="shared" si="156"/>
        <v>0</v>
      </c>
      <c r="N247" s="281">
        <f t="shared" si="156"/>
        <v>0</v>
      </c>
      <c r="O247" s="281">
        <f t="shared" si="156"/>
        <v>0</v>
      </c>
      <c r="P247" s="281">
        <f t="shared" si="156"/>
        <v>0</v>
      </c>
      <c r="Q247" s="281">
        <f t="shared" si="156"/>
        <v>0</v>
      </c>
      <c r="R247" s="281">
        <f t="shared" si="156"/>
        <v>0</v>
      </c>
      <c r="S247" s="281">
        <f t="shared" si="156"/>
        <v>0</v>
      </c>
      <c r="T247" s="281">
        <f>T239+T240+T243+T246</f>
        <v>0</v>
      </c>
      <c r="U247" s="281">
        <f t="shared" si="156"/>
        <v>0</v>
      </c>
      <c r="V247" s="281">
        <f t="shared" si="156"/>
        <v>0</v>
      </c>
      <c r="W247" s="281">
        <f t="shared" ref="W247" si="157">W239+W240+W243+W246</f>
        <v>0</v>
      </c>
    </row>
    <row r="248" spans="1:23" s="270" customFormat="1" ht="9" customHeight="1" x14ac:dyDescent="0.25">
      <c r="A248" s="812" t="s">
        <v>1027</v>
      </c>
      <c r="B248" s="813"/>
      <c r="C248" s="888" t="s">
        <v>1028</v>
      </c>
      <c r="D248" s="889"/>
      <c r="E248" s="889"/>
      <c r="F248" s="889"/>
      <c r="G248" s="890"/>
      <c r="H248" s="271" t="s">
        <v>704</v>
      </c>
      <c r="I248" s="273"/>
      <c r="J248" s="289"/>
      <c r="K248" s="289"/>
      <c r="L248" s="289"/>
      <c r="M248" s="273"/>
      <c r="N248" s="289"/>
      <c r="O248" s="289"/>
      <c r="P248" s="289"/>
      <c r="Q248" s="289"/>
      <c r="R248" s="289"/>
      <c r="S248" s="289"/>
      <c r="T248" s="289"/>
      <c r="U248" s="289"/>
      <c r="V248" s="273"/>
      <c r="W248" s="271"/>
    </row>
    <row r="249" spans="1:23" s="270" customFormat="1" ht="9" customHeight="1" thickBot="1" x14ac:dyDescent="0.3">
      <c r="A249" s="883" t="s">
        <v>1029</v>
      </c>
      <c r="B249" s="884"/>
      <c r="C249" s="891" t="s">
        <v>1030</v>
      </c>
      <c r="D249" s="892"/>
      <c r="E249" s="892"/>
      <c r="F249" s="892"/>
      <c r="G249" s="893"/>
      <c r="H249" s="290" t="s">
        <v>704</v>
      </c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1"/>
      <c r="W249" s="290"/>
    </row>
    <row r="250" spans="1:23" s="270" customFormat="1" ht="9" customHeight="1" x14ac:dyDescent="0.25">
      <c r="A250" s="894" t="s">
        <v>1031</v>
      </c>
      <c r="B250" s="895"/>
      <c r="C250" s="896" t="s">
        <v>788</v>
      </c>
      <c r="D250" s="897"/>
      <c r="E250" s="897"/>
      <c r="F250" s="897"/>
      <c r="G250" s="898"/>
      <c r="H250" s="292" t="s">
        <v>73</v>
      </c>
      <c r="I250" s="293"/>
      <c r="J250" s="293"/>
      <c r="K250" s="293"/>
      <c r="L250" s="293"/>
      <c r="M250" s="293"/>
      <c r="N250" s="293"/>
      <c r="O250" s="293"/>
      <c r="P250" s="293"/>
      <c r="Q250" s="293"/>
      <c r="R250" s="293"/>
      <c r="S250" s="293"/>
      <c r="T250" s="293"/>
      <c r="U250" s="293"/>
      <c r="V250" s="293"/>
      <c r="W250" s="292"/>
    </row>
    <row r="251" spans="1:23" s="270" customFormat="1" ht="8.4499999999999993" customHeight="1" x14ac:dyDescent="0.25">
      <c r="A251" s="850" t="s">
        <v>1032</v>
      </c>
      <c r="B251" s="851"/>
      <c r="C251" s="855" t="s">
        <v>1033</v>
      </c>
      <c r="D251" s="856"/>
      <c r="E251" s="856"/>
      <c r="F251" s="856"/>
      <c r="G251" s="857"/>
      <c r="H251" s="279" t="s">
        <v>704</v>
      </c>
      <c r="I251" s="280">
        <v>5.29</v>
      </c>
      <c r="J251" s="280"/>
      <c r="K251" s="280"/>
      <c r="L251" s="280">
        <v>0</v>
      </c>
      <c r="M251" s="280"/>
      <c r="N251" s="280"/>
      <c r="O251" s="280"/>
      <c r="P251" s="280"/>
      <c r="Q251" s="280"/>
      <c r="R251" s="280"/>
      <c r="S251" s="280"/>
      <c r="T251" s="280"/>
      <c r="U251" s="280"/>
      <c r="V251" s="280"/>
      <c r="W251" s="279"/>
    </row>
    <row r="252" spans="1:23" s="270" customFormat="1" ht="8.1" customHeight="1" x14ac:dyDescent="0.25">
      <c r="A252" s="812" t="s">
        <v>1034</v>
      </c>
      <c r="B252" s="813"/>
      <c r="C252" s="847" t="s">
        <v>1035</v>
      </c>
      <c r="D252" s="848"/>
      <c r="E252" s="848"/>
      <c r="F252" s="848"/>
      <c r="G252" s="849"/>
      <c r="H252" s="271" t="s">
        <v>704</v>
      </c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1"/>
    </row>
    <row r="253" spans="1:23" s="270" customFormat="1" ht="8.1" customHeight="1" x14ac:dyDescent="0.25">
      <c r="A253" s="812" t="s">
        <v>1036</v>
      </c>
      <c r="B253" s="813"/>
      <c r="C253" s="864" t="s">
        <v>1037</v>
      </c>
      <c r="D253" s="865"/>
      <c r="E253" s="865"/>
      <c r="F253" s="865"/>
      <c r="G253" s="866"/>
      <c r="H253" s="271" t="s">
        <v>704</v>
      </c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1"/>
    </row>
    <row r="254" spans="1:23" s="270" customFormat="1" ht="16.5" customHeight="1" x14ac:dyDescent="0.25">
      <c r="A254" s="812" t="s">
        <v>1038</v>
      </c>
      <c r="B254" s="813"/>
      <c r="C254" s="864" t="s">
        <v>706</v>
      </c>
      <c r="D254" s="865"/>
      <c r="E254" s="865"/>
      <c r="F254" s="865"/>
      <c r="G254" s="866"/>
      <c r="H254" s="271" t="s">
        <v>704</v>
      </c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1"/>
    </row>
    <row r="255" spans="1:23" s="270" customFormat="1" ht="8.1" customHeight="1" x14ac:dyDescent="0.25">
      <c r="A255" s="812" t="s">
        <v>1039</v>
      </c>
      <c r="B255" s="813"/>
      <c r="C255" s="861" t="s">
        <v>1037</v>
      </c>
      <c r="D255" s="862"/>
      <c r="E255" s="862"/>
      <c r="F255" s="862"/>
      <c r="G255" s="863"/>
      <c r="H255" s="271" t="s">
        <v>704</v>
      </c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1"/>
    </row>
    <row r="256" spans="1:23" s="270" customFormat="1" ht="16.5" customHeight="1" x14ac:dyDescent="0.25">
      <c r="A256" s="812" t="s">
        <v>1040</v>
      </c>
      <c r="B256" s="813"/>
      <c r="C256" s="864" t="s">
        <v>707</v>
      </c>
      <c r="D256" s="865"/>
      <c r="E256" s="865"/>
      <c r="F256" s="865"/>
      <c r="G256" s="866"/>
      <c r="H256" s="271" t="s">
        <v>704</v>
      </c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1"/>
    </row>
    <row r="257" spans="1:23" s="270" customFormat="1" ht="8.1" customHeight="1" x14ac:dyDescent="0.25">
      <c r="A257" s="812" t="s">
        <v>1041</v>
      </c>
      <c r="B257" s="813"/>
      <c r="C257" s="861" t="s">
        <v>1037</v>
      </c>
      <c r="D257" s="862"/>
      <c r="E257" s="862"/>
      <c r="F257" s="862"/>
      <c r="G257" s="863"/>
      <c r="H257" s="271" t="s">
        <v>704</v>
      </c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1"/>
    </row>
    <row r="258" spans="1:23" s="270" customFormat="1" ht="16.5" customHeight="1" x14ac:dyDescent="0.25">
      <c r="A258" s="812" t="s">
        <v>1042</v>
      </c>
      <c r="B258" s="813"/>
      <c r="C258" s="864" t="s">
        <v>708</v>
      </c>
      <c r="D258" s="865"/>
      <c r="E258" s="865"/>
      <c r="F258" s="865"/>
      <c r="G258" s="866"/>
      <c r="H258" s="271" t="s">
        <v>704</v>
      </c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1"/>
    </row>
    <row r="259" spans="1:23" s="270" customFormat="1" ht="8.1" customHeight="1" x14ac:dyDescent="0.25">
      <c r="A259" s="812" t="s">
        <v>1043</v>
      </c>
      <c r="B259" s="813"/>
      <c r="C259" s="861" t="s">
        <v>1037</v>
      </c>
      <c r="D259" s="862"/>
      <c r="E259" s="862"/>
      <c r="F259" s="862"/>
      <c r="G259" s="863"/>
      <c r="H259" s="271" t="s">
        <v>704</v>
      </c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1"/>
    </row>
    <row r="260" spans="1:23" s="270" customFormat="1" ht="8.1" customHeight="1" x14ac:dyDescent="0.25">
      <c r="A260" s="812" t="s">
        <v>1044</v>
      </c>
      <c r="B260" s="813"/>
      <c r="C260" s="847" t="s">
        <v>1045</v>
      </c>
      <c r="D260" s="848"/>
      <c r="E260" s="848"/>
      <c r="F260" s="848"/>
      <c r="G260" s="849"/>
      <c r="H260" s="271" t="s">
        <v>704</v>
      </c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1"/>
    </row>
    <row r="261" spans="1:23" s="270" customFormat="1" ht="8.1" customHeight="1" x14ac:dyDescent="0.25">
      <c r="A261" s="812" t="s">
        <v>1046</v>
      </c>
      <c r="B261" s="813"/>
      <c r="C261" s="864" t="s">
        <v>1037</v>
      </c>
      <c r="D261" s="865"/>
      <c r="E261" s="865"/>
      <c r="F261" s="865"/>
      <c r="G261" s="866"/>
      <c r="H261" s="271" t="s">
        <v>704</v>
      </c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1"/>
    </row>
    <row r="262" spans="1:23" s="270" customFormat="1" ht="8.1" customHeight="1" x14ac:dyDescent="0.25">
      <c r="A262" s="817" t="s">
        <v>1047</v>
      </c>
      <c r="B262" s="818"/>
      <c r="C262" s="867" t="s">
        <v>1048</v>
      </c>
      <c r="D262" s="868"/>
      <c r="E262" s="868"/>
      <c r="F262" s="868"/>
      <c r="G262" s="869"/>
      <c r="H262" s="274" t="s">
        <v>704</v>
      </c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  <c r="U262" s="275"/>
      <c r="V262" s="275"/>
      <c r="W262" s="274"/>
    </row>
    <row r="263" spans="1:23" s="270" customFormat="1" ht="8.1" customHeight="1" x14ac:dyDescent="0.25">
      <c r="A263" s="817" t="s">
        <v>1049</v>
      </c>
      <c r="B263" s="818"/>
      <c r="C263" s="899" t="s">
        <v>1037</v>
      </c>
      <c r="D263" s="900"/>
      <c r="E263" s="900"/>
      <c r="F263" s="900"/>
      <c r="G263" s="901"/>
      <c r="H263" s="274" t="s">
        <v>704</v>
      </c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4"/>
    </row>
    <row r="264" spans="1:23" s="270" customFormat="1" ht="8.1" customHeight="1" x14ac:dyDescent="0.25">
      <c r="A264" s="812" t="s">
        <v>1050</v>
      </c>
      <c r="B264" s="813"/>
      <c r="C264" s="847" t="s">
        <v>1051</v>
      </c>
      <c r="D264" s="848"/>
      <c r="E264" s="848"/>
      <c r="F264" s="848"/>
      <c r="G264" s="849"/>
      <c r="H264" s="271" t="s">
        <v>704</v>
      </c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1"/>
    </row>
    <row r="265" spans="1:23" s="270" customFormat="1" ht="8.1" customHeight="1" x14ac:dyDescent="0.25">
      <c r="A265" s="812" t="s">
        <v>1052</v>
      </c>
      <c r="B265" s="813"/>
      <c r="C265" s="864" t="s">
        <v>1037</v>
      </c>
      <c r="D265" s="865"/>
      <c r="E265" s="865"/>
      <c r="F265" s="865"/>
      <c r="G265" s="866"/>
      <c r="H265" s="271" t="s">
        <v>704</v>
      </c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1"/>
    </row>
    <row r="266" spans="1:23" s="270" customFormat="1" ht="8.1" customHeight="1" x14ac:dyDescent="0.25">
      <c r="A266" s="817" t="s">
        <v>1053</v>
      </c>
      <c r="B266" s="818"/>
      <c r="C266" s="867" t="s">
        <v>1054</v>
      </c>
      <c r="D266" s="868"/>
      <c r="E266" s="868"/>
      <c r="F266" s="868"/>
      <c r="G266" s="869"/>
      <c r="H266" s="274" t="s">
        <v>704</v>
      </c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274"/>
    </row>
    <row r="267" spans="1:23" s="270" customFormat="1" ht="8.1" customHeight="1" x14ac:dyDescent="0.25">
      <c r="A267" s="817" t="s">
        <v>1055</v>
      </c>
      <c r="B267" s="818"/>
      <c r="C267" s="899" t="s">
        <v>1037</v>
      </c>
      <c r="D267" s="900"/>
      <c r="E267" s="900"/>
      <c r="F267" s="900"/>
      <c r="G267" s="901"/>
      <c r="H267" s="274" t="s">
        <v>704</v>
      </c>
      <c r="I267" s="275"/>
      <c r="J267" s="275"/>
      <c r="K267" s="275"/>
      <c r="L267" s="275"/>
      <c r="M267" s="275"/>
      <c r="N267" s="275"/>
      <c r="O267" s="275"/>
      <c r="P267" s="275"/>
      <c r="Q267" s="275"/>
      <c r="R267" s="275"/>
      <c r="S267" s="275"/>
      <c r="T267" s="275"/>
      <c r="U267" s="275"/>
      <c r="V267" s="275"/>
      <c r="W267" s="274"/>
    </row>
    <row r="268" spans="1:23" s="270" customFormat="1" ht="8.1" customHeight="1" x14ac:dyDescent="0.25">
      <c r="A268" s="812" t="s">
        <v>1056</v>
      </c>
      <c r="B268" s="813"/>
      <c r="C268" s="847" t="s">
        <v>1057</v>
      </c>
      <c r="D268" s="848"/>
      <c r="E268" s="848"/>
      <c r="F268" s="848"/>
      <c r="G268" s="849"/>
      <c r="H268" s="271" t="s">
        <v>704</v>
      </c>
      <c r="I268" s="273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1"/>
    </row>
    <row r="269" spans="1:23" s="270" customFormat="1" ht="8.1" customHeight="1" x14ac:dyDescent="0.25">
      <c r="A269" s="812" t="s">
        <v>1058</v>
      </c>
      <c r="B269" s="813"/>
      <c r="C269" s="864" t="s">
        <v>1037</v>
      </c>
      <c r="D269" s="865"/>
      <c r="E269" s="865"/>
      <c r="F269" s="865"/>
      <c r="G269" s="866"/>
      <c r="H269" s="271" t="s">
        <v>704</v>
      </c>
      <c r="I269" s="273"/>
      <c r="J269" s="273"/>
      <c r="K269" s="273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1"/>
    </row>
    <row r="270" spans="1:23" s="270" customFormat="1" ht="8.1" customHeight="1" x14ac:dyDescent="0.25">
      <c r="A270" s="812" t="s">
        <v>1056</v>
      </c>
      <c r="B270" s="813"/>
      <c r="C270" s="847" t="s">
        <v>1059</v>
      </c>
      <c r="D270" s="848"/>
      <c r="E270" s="848"/>
      <c r="F270" s="848"/>
      <c r="G270" s="849"/>
      <c r="H270" s="271" t="s">
        <v>704</v>
      </c>
      <c r="I270" s="273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1"/>
    </row>
    <row r="271" spans="1:23" s="270" customFormat="1" ht="8.1" customHeight="1" x14ac:dyDescent="0.25">
      <c r="A271" s="812" t="s">
        <v>1060</v>
      </c>
      <c r="B271" s="813"/>
      <c r="C271" s="864" t="s">
        <v>1037</v>
      </c>
      <c r="D271" s="865"/>
      <c r="E271" s="865"/>
      <c r="F271" s="865"/>
      <c r="G271" s="866"/>
      <c r="H271" s="271" t="s">
        <v>704</v>
      </c>
      <c r="I271" s="273"/>
      <c r="J271" s="273"/>
      <c r="K271" s="273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1"/>
    </row>
    <row r="272" spans="1:23" s="270" customFormat="1" ht="16.5" customHeight="1" x14ac:dyDescent="0.25">
      <c r="A272" s="812" t="s">
        <v>1061</v>
      </c>
      <c r="B272" s="813"/>
      <c r="C272" s="847" t="s">
        <v>1062</v>
      </c>
      <c r="D272" s="848"/>
      <c r="E272" s="848"/>
      <c r="F272" s="848"/>
      <c r="G272" s="849"/>
      <c r="H272" s="271" t="s">
        <v>704</v>
      </c>
      <c r="I272" s="273"/>
      <c r="J272" s="273"/>
      <c r="K272" s="273"/>
      <c r="L272" s="273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  <c r="W272" s="271"/>
    </row>
    <row r="273" spans="1:23" s="270" customFormat="1" ht="8.1" customHeight="1" x14ac:dyDescent="0.25">
      <c r="A273" s="812" t="s">
        <v>1063</v>
      </c>
      <c r="B273" s="813"/>
      <c r="C273" s="864" t="s">
        <v>1037</v>
      </c>
      <c r="D273" s="865"/>
      <c r="E273" s="865"/>
      <c r="F273" s="865"/>
      <c r="G273" s="866"/>
      <c r="H273" s="271" t="s">
        <v>704</v>
      </c>
      <c r="I273" s="273"/>
      <c r="J273" s="273"/>
      <c r="K273" s="273"/>
      <c r="L273" s="273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  <c r="W273" s="271"/>
    </row>
    <row r="274" spans="1:23" s="270" customFormat="1" ht="8.1" customHeight="1" x14ac:dyDescent="0.25">
      <c r="A274" s="812" t="s">
        <v>1064</v>
      </c>
      <c r="B274" s="813"/>
      <c r="C274" s="864" t="s">
        <v>721</v>
      </c>
      <c r="D274" s="865"/>
      <c r="E274" s="865"/>
      <c r="F274" s="865"/>
      <c r="G274" s="866"/>
      <c r="H274" s="271" t="s">
        <v>704</v>
      </c>
      <c r="I274" s="273"/>
      <c r="J274" s="273"/>
      <c r="K274" s="273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1"/>
    </row>
    <row r="275" spans="1:23" s="270" customFormat="1" ht="8.1" customHeight="1" x14ac:dyDescent="0.25">
      <c r="A275" s="812" t="s">
        <v>1065</v>
      </c>
      <c r="B275" s="813"/>
      <c r="C275" s="861" t="s">
        <v>1037</v>
      </c>
      <c r="D275" s="862"/>
      <c r="E275" s="862"/>
      <c r="F275" s="862"/>
      <c r="G275" s="863"/>
      <c r="H275" s="271" t="s">
        <v>704</v>
      </c>
      <c r="I275" s="273"/>
      <c r="J275" s="273"/>
      <c r="K275" s="273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1"/>
    </row>
    <row r="276" spans="1:23" s="270" customFormat="1" ht="8.1" customHeight="1" x14ac:dyDescent="0.25">
      <c r="A276" s="812" t="s">
        <v>1066</v>
      </c>
      <c r="B276" s="813"/>
      <c r="C276" s="864" t="s">
        <v>723</v>
      </c>
      <c r="D276" s="865"/>
      <c r="E276" s="865"/>
      <c r="F276" s="865"/>
      <c r="G276" s="866"/>
      <c r="H276" s="271" t="s">
        <v>704</v>
      </c>
      <c r="I276" s="273"/>
      <c r="J276" s="273"/>
      <c r="K276" s="273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1"/>
    </row>
    <row r="277" spans="1:23" s="270" customFormat="1" ht="8.1" customHeight="1" x14ac:dyDescent="0.25">
      <c r="A277" s="812" t="s">
        <v>1067</v>
      </c>
      <c r="B277" s="813"/>
      <c r="C277" s="861" t="s">
        <v>1037</v>
      </c>
      <c r="D277" s="862"/>
      <c r="E277" s="862"/>
      <c r="F277" s="862"/>
      <c r="G277" s="863"/>
      <c r="H277" s="271" t="s">
        <v>704</v>
      </c>
      <c r="I277" s="273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1"/>
    </row>
    <row r="278" spans="1:23" s="270" customFormat="1" ht="8.1" customHeight="1" x14ac:dyDescent="0.25">
      <c r="A278" s="817" t="s">
        <v>1068</v>
      </c>
      <c r="B278" s="818"/>
      <c r="C278" s="867" t="s">
        <v>1069</v>
      </c>
      <c r="D278" s="868"/>
      <c r="E278" s="868"/>
      <c r="F278" s="868"/>
      <c r="G278" s="869"/>
      <c r="H278" s="274" t="s">
        <v>704</v>
      </c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  <c r="S278" s="275"/>
      <c r="T278" s="275"/>
      <c r="U278" s="275"/>
      <c r="V278" s="275"/>
      <c r="W278" s="274"/>
    </row>
    <row r="279" spans="1:23" s="270" customFormat="1" ht="8.1" customHeight="1" x14ac:dyDescent="0.25">
      <c r="A279" s="817" t="s">
        <v>1070</v>
      </c>
      <c r="B279" s="818"/>
      <c r="C279" s="899" t="s">
        <v>1037</v>
      </c>
      <c r="D279" s="900"/>
      <c r="E279" s="900"/>
      <c r="F279" s="900"/>
      <c r="G279" s="901"/>
      <c r="H279" s="274" t="s">
        <v>704</v>
      </c>
      <c r="I279" s="275"/>
      <c r="J279" s="275"/>
      <c r="K279" s="275"/>
      <c r="L279" s="275"/>
      <c r="M279" s="275"/>
      <c r="N279" s="275"/>
      <c r="O279" s="275"/>
      <c r="P279" s="275"/>
      <c r="Q279" s="275"/>
      <c r="R279" s="275"/>
      <c r="S279" s="275"/>
      <c r="T279" s="275"/>
      <c r="U279" s="275"/>
      <c r="V279" s="275"/>
      <c r="W279" s="274"/>
    </row>
    <row r="280" spans="1:23" s="270" customFormat="1" ht="8.1" customHeight="1" x14ac:dyDescent="0.25">
      <c r="A280" s="850" t="s">
        <v>1071</v>
      </c>
      <c r="B280" s="851"/>
      <c r="C280" s="855" t="s">
        <v>1072</v>
      </c>
      <c r="D280" s="856"/>
      <c r="E280" s="856"/>
      <c r="F280" s="856"/>
      <c r="G280" s="857"/>
      <c r="H280" s="279" t="s">
        <v>704</v>
      </c>
      <c r="I280" s="280">
        <v>20.334</v>
      </c>
      <c r="J280" s="280"/>
      <c r="K280" s="280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80"/>
      <c r="W280" s="279"/>
    </row>
    <row r="281" spans="1:23" s="270" customFormat="1" ht="8.1" customHeight="1" x14ac:dyDescent="0.25">
      <c r="A281" s="812" t="s">
        <v>1073</v>
      </c>
      <c r="B281" s="813"/>
      <c r="C281" s="847" t="s">
        <v>1074</v>
      </c>
      <c r="D281" s="848"/>
      <c r="E281" s="848"/>
      <c r="F281" s="848"/>
      <c r="G281" s="849"/>
      <c r="H281" s="271" t="s">
        <v>704</v>
      </c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1"/>
    </row>
    <row r="282" spans="1:23" s="270" customFormat="1" ht="8.1" customHeight="1" x14ac:dyDescent="0.25">
      <c r="A282" s="812" t="s">
        <v>1075</v>
      </c>
      <c r="B282" s="813"/>
      <c r="C282" s="864" t="s">
        <v>1037</v>
      </c>
      <c r="D282" s="865"/>
      <c r="E282" s="865"/>
      <c r="F282" s="865"/>
      <c r="G282" s="866"/>
      <c r="H282" s="271" t="s">
        <v>704</v>
      </c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1"/>
    </row>
    <row r="283" spans="1:23" s="270" customFormat="1" ht="8.1" customHeight="1" x14ac:dyDescent="0.25">
      <c r="A283" s="812" t="s">
        <v>1076</v>
      </c>
      <c r="B283" s="813"/>
      <c r="C283" s="847" t="s">
        <v>1077</v>
      </c>
      <c r="D283" s="848"/>
      <c r="E283" s="848"/>
      <c r="F283" s="848"/>
      <c r="G283" s="849"/>
      <c r="H283" s="271" t="s">
        <v>704</v>
      </c>
      <c r="I283" s="27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1"/>
    </row>
    <row r="284" spans="1:23" s="270" customFormat="1" ht="8.1" customHeight="1" x14ac:dyDescent="0.25">
      <c r="A284" s="812" t="s">
        <v>1078</v>
      </c>
      <c r="B284" s="813"/>
      <c r="C284" s="864" t="s">
        <v>907</v>
      </c>
      <c r="D284" s="865"/>
      <c r="E284" s="865"/>
      <c r="F284" s="865"/>
      <c r="G284" s="866"/>
      <c r="H284" s="271" t="s">
        <v>704</v>
      </c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1"/>
    </row>
    <row r="285" spans="1:23" s="270" customFormat="1" ht="8.1" customHeight="1" x14ac:dyDescent="0.25">
      <c r="A285" s="812" t="s">
        <v>1079</v>
      </c>
      <c r="B285" s="813"/>
      <c r="C285" s="861" t="s">
        <v>1037</v>
      </c>
      <c r="D285" s="862"/>
      <c r="E285" s="862"/>
      <c r="F285" s="862"/>
      <c r="G285" s="863"/>
      <c r="H285" s="271" t="s">
        <v>704</v>
      </c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1"/>
    </row>
    <row r="286" spans="1:23" s="270" customFormat="1" ht="8.1" customHeight="1" x14ac:dyDescent="0.25">
      <c r="A286" s="812" t="s">
        <v>1080</v>
      </c>
      <c r="B286" s="813"/>
      <c r="C286" s="864" t="s">
        <v>1081</v>
      </c>
      <c r="D286" s="865"/>
      <c r="E286" s="865"/>
      <c r="F286" s="865"/>
      <c r="G286" s="866"/>
      <c r="H286" s="271" t="s">
        <v>704</v>
      </c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1"/>
    </row>
    <row r="287" spans="1:23" s="270" customFormat="1" ht="8.1" customHeight="1" x14ac:dyDescent="0.25">
      <c r="A287" s="812" t="s">
        <v>1082</v>
      </c>
      <c r="B287" s="813"/>
      <c r="C287" s="861" t="s">
        <v>1037</v>
      </c>
      <c r="D287" s="862"/>
      <c r="E287" s="862"/>
      <c r="F287" s="862"/>
      <c r="G287" s="863"/>
      <c r="H287" s="271" t="s">
        <v>704</v>
      </c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1"/>
    </row>
    <row r="288" spans="1:23" s="270" customFormat="1" ht="16.5" customHeight="1" x14ac:dyDescent="0.25">
      <c r="A288" s="812" t="s">
        <v>1083</v>
      </c>
      <c r="B288" s="813"/>
      <c r="C288" s="847" t="s">
        <v>1084</v>
      </c>
      <c r="D288" s="848"/>
      <c r="E288" s="848"/>
      <c r="F288" s="848"/>
      <c r="G288" s="849"/>
      <c r="H288" s="271" t="s">
        <v>704</v>
      </c>
      <c r="I288" s="273"/>
      <c r="J288" s="27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  <c r="W288" s="271"/>
    </row>
    <row r="289" spans="1:23" s="270" customFormat="1" ht="8.1" customHeight="1" x14ac:dyDescent="0.25">
      <c r="A289" s="812" t="s">
        <v>1085</v>
      </c>
      <c r="B289" s="813"/>
      <c r="C289" s="864" t="s">
        <v>1037</v>
      </c>
      <c r="D289" s="865"/>
      <c r="E289" s="865"/>
      <c r="F289" s="865"/>
      <c r="G289" s="866"/>
      <c r="H289" s="271" t="s">
        <v>704</v>
      </c>
      <c r="I289" s="273"/>
      <c r="J289" s="27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  <c r="W289" s="271"/>
    </row>
    <row r="290" spans="1:23" s="270" customFormat="1" ht="8.1" customHeight="1" x14ac:dyDescent="0.25">
      <c r="A290" s="812" t="s">
        <v>1086</v>
      </c>
      <c r="B290" s="813"/>
      <c r="C290" s="847" t="s">
        <v>1087</v>
      </c>
      <c r="D290" s="848"/>
      <c r="E290" s="848"/>
      <c r="F290" s="848"/>
      <c r="G290" s="849"/>
      <c r="H290" s="271" t="s">
        <v>704</v>
      </c>
      <c r="I290" s="273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  <c r="W290" s="271"/>
    </row>
    <row r="291" spans="1:23" s="270" customFormat="1" ht="8.1" customHeight="1" x14ac:dyDescent="0.25">
      <c r="A291" s="812" t="s">
        <v>1088</v>
      </c>
      <c r="B291" s="813"/>
      <c r="C291" s="864" t="s">
        <v>1037</v>
      </c>
      <c r="D291" s="865"/>
      <c r="E291" s="865"/>
      <c r="F291" s="865"/>
      <c r="G291" s="866"/>
      <c r="H291" s="271" t="s">
        <v>704</v>
      </c>
      <c r="I291" s="273"/>
      <c r="J291" s="273"/>
      <c r="K291" s="273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  <c r="W291" s="271"/>
    </row>
    <row r="292" spans="1:23" s="270" customFormat="1" ht="8.1" customHeight="1" x14ac:dyDescent="0.25">
      <c r="A292" s="817" t="s">
        <v>1089</v>
      </c>
      <c r="B292" s="818"/>
      <c r="C292" s="867" t="s">
        <v>1090</v>
      </c>
      <c r="D292" s="868"/>
      <c r="E292" s="868"/>
      <c r="F292" s="868"/>
      <c r="G292" s="869"/>
      <c r="H292" s="274" t="s">
        <v>704</v>
      </c>
      <c r="I292" s="275"/>
      <c r="J292" s="275"/>
      <c r="K292" s="275"/>
      <c r="L292" s="275"/>
      <c r="M292" s="275"/>
      <c r="N292" s="275"/>
      <c r="O292" s="275"/>
      <c r="P292" s="275"/>
      <c r="Q292" s="275"/>
      <c r="R292" s="275"/>
      <c r="S292" s="275"/>
      <c r="T292" s="275"/>
      <c r="U292" s="275"/>
      <c r="V292" s="275"/>
      <c r="W292" s="274"/>
    </row>
    <row r="293" spans="1:23" s="270" customFormat="1" ht="8.1" customHeight="1" x14ac:dyDescent="0.25">
      <c r="A293" s="812" t="s">
        <v>1091</v>
      </c>
      <c r="B293" s="813"/>
      <c r="C293" s="864" t="s">
        <v>1037</v>
      </c>
      <c r="D293" s="865"/>
      <c r="E293" s="865"/>
      <c r="F293" s="865"/>
      <c r="G293" s="866"/>
      <c r="H293" s="271" t="s">
        <v>704</v>
      </c>
      <c r="I293" s="273"/>
      <c r="J293" s="273"/>
      <c r="K293" s="273"/>
      <c r="L293" s="273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  <c r="W293" s="271"/>
    </row>
    <row r="294" spans="1:23" s="270" customFormat="1" ht="8.1" customHeight="1" x14ac:dyDescent="0.25">
      <c r="A294" s="817" t="s">
        <v>1092</v>
      </c>
      <c r="B294" s="818"/>
      <c r="C294" s="867" t="s">
        <v>1093</v>
      </c>
      <c r="D294" s="868"/>
      <c r="E294" s="868"/>
      <c r="F294" s="868"/>
      <c r="G294" s="869"/>
      <c r="H294" s="274" t="s">
        <v>704</v>
      </c>
      <c r="I294" s="275"/>
      <c r="J294" s="275"/>
      <c r="K294" s="275"/>
      <c r="L294" s="275"/>
      <c r="M294" s="275"/>
      <c r="N294" s="275"/>
      <c r="O294" s="275"/>
      <c r="P294" s="275"/>
      <c r="Q294" s="275"/>
      <c r="R294" s="275"/>
      <c r="S294" s="275"/>
      <c r="T294" s="275"/>
      <c r="U294" s="275"/>
      <c r="V294" s="275"/>
      <c r="W294" s="274"/>
    </row>
    <row r="295" spans="1:23" s="270" customFormat="1" ht="8.1" customHeight="1" x14ac:dyDescent="0.25">
      <c r="A295" s="812" t="s">
        <v>1094</v>
      </c>
      <c r="B295" s="813"/>
      <c r="C295" s="864" t="s">
        <v>1037</v>
      </c>
      <c r="D295" s="865"/>
      <c r="E295" s="865"/>
      <c r="F295" s="865"/>
      <c r="G295" s="866"/>
      <c r="H295" s="271" t="s">
        <v>704</v>
      </c>
      <c r="I295" s="273"/>
      <c r="J295" s="273"/>
      <c r="K295" s="273"/>
      <c r="L295" s="273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  <c r="W295" s="271"/>
    </row>
    <row r="296" spans="1:23" s="270" customFormat="1" ht="8.1" customHeight="1" x14ac:dyDescent="0.25">
      <c r="A296" s="817" t="s">
        <v>1095</v>
      </c>
      <c r="B296" s="818"/>
      <c r="C296" s="867" t="s">
        <v>1096</v>
      </c>
      <c r="D296" s="868"/>
      <c r="E296" s="868"/>
      <c r="F296" s="868"/>
      <c r="G296" s="869"/>
      <c r="H296" s="274" t="s">
        <v>704</v>
      </c>
      <c r="I296" s="275"/>
      <c r="J296" s="275"/>
      <c r="K296" s="275"/>
      <c r="L296" s="275"/>
      <c r="M296" s="275"/>
      <c r="N296" s="275"/>
      <c r="O296" s="275"/>
      <c r="P296" s="275"/>
      <c r="Q296" s="275"/>
      <c r="R296" s="275"/>
      <c r="S296" s="275"/>
      <c r="T296" s="275"/>
      <c r="U296" s="275"/>
      <c r="V296" s="275"/>
      <c r="W296" s="274"/>
    </row>
    <row r="297" spans="1:23" s="270" customFormat="1" ht="8.1" customHeight="1" x14ac:dyDescent="0.25">
      <c r="A297" s="812" t="s">
        <v>1097</v>
      </c>
      <c r="B297" s="813"/>
      <c r="C297" s="864" t="s">
        <v>1037</v>
      </c>
      <c r="D297" s="865"/>
      <c r="E297" s="865"/>
      <c r="F297" s="865"/>
      <c r="G297" s="866"/>
      <c r="H297" s="271" t="s">
        <v>704</v>
      </c>
      <c r="I297" s="273"/>
      <c r="J297" s="273"/>
      <c r="K297" s="273"/>
      <c r="L297" s="273"/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  <c r="W297" s="271"/>
    </row>
    <row r="298" spans="1:23" s="270" customFormat="1" ht="16.5" customHeight="1" x14ac:dyDescent="0.25">
      <c r="A298" s="817" t="s">
        <v>1098</v>
      </c>
      <c r="B298" s="818"/>
      <c r="C298" s="867" t="s">
        <v>1099</v>
      </c>
      <c r="D298" s="868"/>
      <c r="E298" s="868"/>
      <c r="F298" s="868"/>
      <c r="G298" s="869"/>
      <c r="H298" s="274" t="s">
        <v>704</v>
      </c>
      <c r="I298" s="275"/>
      <c r="J298" s="275"/>
      <c r="K298" s="275"/>
      <c r="L298" s="275"/>
      <c r="M298" s="275"/>
      <c r="N298" s="275"/>
      <c r="O298" s="275"/>
      <c r="P298" s="275"/>
      <c r="Q298" s="275"/>
      <c r="R298" s="275"/>
      <c r="S298" s="275"/>
      <c r="T298" s="275"/>
      <c r="U298" s="275"/>
      <c r="V298" s="275"/>
      <c r="W298" s="274"/>
    </row>
    <row r="299" spans="1:23" s="270" customFormat="1" ht="8.1" customHeight="1" x14ac:dyDescent="0.25">
      <c r="A299" s="812" t="s">
        <v>1100</v>
      </c>
      <c r="B299" s="813"/>
      <c r="C299" s="864" t="s">
        <v>1037</v>
      </c>
      <c r="D299" s="865"/>
      <c r="E299" s="865"/>
      <c r="F299" s="865"/>
      <c r="G299" s="866"/>
      <c r="H299" s="271" t="s">
        <v>704</v>
      </c>
      <c r="I299" s="273"/>
      <c r="J299" s="273"/>
      <c r="K299" s="273"/>
      <c r="L299" s="273"/>
      <c r="M299" s="273"/>
      <c r="N299" s="273"/>
      <c r="O299" s="273"/>
      <c r="P299" s="273"/>
      <c r="Q299" s="273"/>
      <c r="R299" s="273"/>
      <c r="S299" s="273"/>
      <c r="T299" s="273"/>
      <c r="U299" s="273"/>
      <c r="V299" s="273"/>
      <c r="W299" s="271"/>
    </row>
    <row r="300" spans="1:23" s="270" customFormat="1" ht="8.1" customHeight="1" x14ac:dyDescent="0.25">
      <c r="A300" s="817" t="s">
        <v>1101</v>
      </c>
      <c r="B300" s="818"/>
      <c r="C300" s="867" t="s">
        <v>1102</v>
      </c>
      <c r="D300" s="868"/>
      <c r="E300" s="868"/>
      <c r="F300" s="868"/>
      <c r="G300" s="869"/>
      <c r="H300" s="274" t="s">
        <v>704</v>
      </c>
      <c r="I300" s="275"/>
      <c r="J300" s="275"/>
      <c r="K300" s="275"/>
      <c r="L300" s="275"/>
      <c r="M300" s="275"/>
      <c r="N300" s="275"/>
      <c r="O300" s="275"/>
      <c r="P300" s="275"/>
      <c r="Q300" s="275"/>
      <c r="R300" s="275"/>
      <c r="S300" s="275"/>
      <c r="T300" s="275"/>
      <c r="U300" s="275"/>
      <c r="V300" s="275"/>
      <c r="W300" s="274"/>
    </row>
    <row r="301" spans="1:23" s="270" customFormat="1" ht="8.1" customHeight="1" x14ac:dyDescent="0.25">
      <c r="A301" s="812" t="s">
        <v>1103</v>
      </c>
      <c r="B301" s="813"/>
      <c r="C301" s="864" t="s">
        <v>1037</v>
      </c>
      <c r="D301" s="865"/>
      <c r="E301" s="865"/>
      <c r="F301" s="865"/>
      <c r="G301" s="866"/>
      <c r="H301" s="271" t="s">
        <v>704</v>
      </c>
      <c r="I301" s="273"/>
      <c r="J301" s="273"/>
      <c r="K301" s="273"/>
      <c r="L301" s="273"/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  <c r="W301" s="271"/>
    </row>
    <row r="302" spans="1:23" s="270" customFormat="1" ht="17.100000000000001" customHeight="1" x14ac:dyDescent="0.25">
      <c r="A302" s="850" t="s">
        <v>1104</v>
      </c>
      <c r="B302" s="851"/>
      <c r="C302" s="855" t="s">
        <v>1105</v>
      </c>
      <c r="D302" s="856"/>
      <c r="E302" s="856"/>
      <c r="F302" s="856"/>
      <c r="G302" s="857"/>
      <c r="H302" s="279" t="s">
        <v>1106</v>
      </c>
      <c r="I302" s="297">
        <f t="shared" ref="I302:W302" si="158">I164/(I20*1.2)*100</f>
        <v>0</v>
      </c>
      <c r="J302" s="297">
        <f t="shared" si="158"/>
        <v>0</v>
      </c>
      <c r="K302" s="297">
        <f t="shared" si="158"/>
        <v>0</v>
      </c>
      <c r="L302" s="297">
        <f t="shared" si="158"/>
        <v>0</v>
      </c>
      <c r="M302" s="297" t="e">
        <f>M164/(M20*1.2)*100</f>
        <v>#DIV/0!</v>
      </c>
      <c r="N302" s="297">
        <f t="shared" si="158"/>
        <v>0</v>
      </c>
      <c r="O302" s="297" t="e">
        <f t="shared" si="158"/>
        <v>#DIV/0!</v>
      </c>
      <c r="P302" s="297">
        <f t="shared" si="158"/>
        <v>0</v>
      </c>
      <c r="Q302" s="297" t="e">
        <f t="shared" si="158"/>
        <v>#DIV/0!</v>
      </c>
      <c r="R302" s="297">
        <f t="shared" si="158"/>
        <v>0</v>
      </c>
      <c r="S302" s="297" t="e">
        <f t="shared" si="158"/>
        <v>#DIV/0!</v>
      </c>
      <c r="T302" s="297">
        <f t="shared" si="158"/>
        <v>0</v>
      </c>
      <c r="U302" s="297" t="e">
        <f t="shared" si="158"/>
        <v>#DIV/0!</v>
      </c>
      <c r="V302" s="297">
        <f t="shared" si="158"/>
        <v>0</v>
      </c>
      <c r="W302" s="297" t="e">
        <f t="shared" si="158"/>
        <v>#DIV/0!</v>
      </c>
    </row>
    <row r="303" spans="1:23" s="270" customFormat="1" ht="8.1" customHeight="1" x14ac:dyDescent="0.25">
      <c r="A303" s="812" t="s">
        <v>1107</v>
      </c>
      <c r="B303" s="813"/>
      <c r="C303" s="847" t="s">
        <v>1108</v>
      </c>
      <c r="D303" s="848"/>
      <c r="E303" s="848"/>
      <c r="F303" s="848"/>
      <c r="G303" s="849"/>
      <c r="H303" s="271" t="s">
        <v>1106</v>
      </c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9"/>
    </row>
    <row r="304" spans="1:23" s="270" customFormat="1" ht="17.100000000000001" customHeight="1" x14ac:dyDescent="0.25">
      <c r="A304" s="812" t="s">
        <v>1109</v>
      </c>
      <c r="B304" s="813"/>
      <c r="C304" s="847" t="s">
        <v>1110</v>
      </c>
      <c r="D304" s="848"/>
      <c r="E304" s="848"/>
      <c r="F304" s="848"/>
      <c r="G304" s="849"/>
      <c r="H304" s="271" t="s">
        <v>1106</v>
      </c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9"/>
    </row>
    <row r="305" spans="1:23" s="270" customFormat="1" ht="17.100000000000001" customHeight="1" x14ac:dyDescent="0.25">
      <c r="A305" s="812" t="s">
        <v>1111</v>
      </c>
      <c r="B305" s="813"/>
      <c r="C305" s="847" t="s">
        <v>1112</v>
      </c>
      <c r="D305" s="848"/>
      <c r="E305" s="848"/>
      <c r="F305" s="848"/>
      <c r="G305" s="849"/>
      <c r="H305" s="271" t="s">
        <v>1106</v>
      </c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9"/>
    </row>
    <row r="306" spans="1:23" s="270" customFormat="1" ht="17.100000000000001" customHeight="1" x14ac:dyDescent="0.25">
      <c r="A306" s="812" t="s">
        <v>1113</v>
      </c>
      <c r="B306" s="813"/>
      <c r="C306" s="847" t="s">
        <v>1114</v>
      </c>
      <c r="D306" s="848"/>
      <c r="E306" s="848"/>
      <c r="F306" s="848"/>
      <c r="G306" s="849"/>
      <c r="H306" s="271" t="s">
        <v>1106</v>
      </c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9"/>
    </row>
    <row r="307" spans="1:23" s="270" customFormat="1" ht="8.1" customHeight="1" x14ac:dyDescent="0.25">
      <c r="A307" s="812" t="s">
        <v>1115</v>
      </c>
      <c r="B307" s="813"/>
      <c r="C307" s="847" t="s">
        <v>1116</v>
      </c>
      <c r="D307" s="848"/>
      <c r="E307" s="848"/>
      <c r="F307" s="848"/>
      <c r="G307" s="849"/>
      <c r="H307" s="271" t="s">
        <v>1106</v>
      </c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9"/>
    </row>
    <row r="308" spans="1:23" s="270" customFormat="1" ht="8.1" customHeight="1" x14ac:dyDescent="0.25">
      <c r="A308" s="817" t="s">
        <v>1117</v>
      </c>
      <c r="B308" s="818"/>
      <c r="C308" s="867" t="s">
        <v>1118</v>
      </c>
      <c r="D308" s="868"/>
      <c r="E308" s="868"/>
      <c r="F308" s="868"/>
      <c r="G308" s="869"/>
      <c r="H308" s="274" t="s">
        <v>1106</v>
      </c>
      <c r="I308" s="300">
        <f t="shared" ref="I308:W308" si="159">I170/I26/1.2*100</f>
        <v>0</v>
      </c>
      <c r="J308" s="300">
        <f t="shared" si="159"/>
        <v>0</v>
      </c>
      <c r="K308" s="300">
        <f t="shared" si="159"/>
        <v>0</v>
      </c>
      <c r="L308" s="300">
        <f t="shared" si="159"/>
        <v>0</v>
      </c>
      <c r="M308" s="300" t="e">
        <f>M170/M26/1.2*100</f>
        <v>#DIV/0!</v>
      </c>
      <c r="N308" s="300">
        <f t="shared" si="159"/>
        <v>0</v>
      </c>
      <c r="O308" s="300" t="e">
        <f t="shared" si="159"/>
        <v>#DIV/0!</v>
      </c>
      <c r="P308" s="300">
        <f t="shared" si="159"/>
        <v>0</v>
      </c>
      <c r="Q308" s="300" t="e">
        <f t="shared" si="159"/>
        <v>#DIV/0!</v>
      </c>
      <c r="R308" s="300">
        <f t="shared" si="159"/>
        <v>0</v>
      </c>
      <c r="S308" s="300" t="e">
        <f t="shared" si="159"/>
        <v>#DIV/0!</v>
      </c>
      <c r="T308" s="300">
        <f t="shared" si="159"/>
        <v>0</v>
      </c>
      <c r="U308" s="300" t="e">
        <f t="shared" si="159"/>
        <v>#DIV/0!</v>
      </c>
      <c r="V308" s="300">
        <f t="shared" si="159"/>
        <v>0</v>
      </c>
      <c r="W308" s="300" t="e">
        <f t="shared" si="159"/>
        <v>#DIV/0!</v>
      </c>
    </row>
    <row r="309" spans="1:23" s="270" customFormat="1" ht="8.1" customHeight="1" x14ac:dyDescent="0.25">
      <c r="A309" s="812" t="s">
        <v>1119</v>
      </c>
      <c r="B309" s="813"/>
      <c r="C309" s="847" t="s">
        <v>1120</v>
      </c>
      <c r="D309" s="848"/>
      <c r="E309" s="848"/>
      <c r="F309" s="848"/>
      <c r="G309" s="849"/>
      <c r="H309" s="271" t="s">
        <v>1106</v>
      </c>
      <c r="I309" s="273"/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  <c r="W309" s="271"/>
    </row>
    <row r="310" spans="1:23" s="270" customFormat="1" ht="8.1" customHeight="1" x14ac:dyDescent="0.25">
      <c r="A310" s="812" t="s">
        <v>1121</v>
      </c>
      <c r="B310" s="813"/>
      <c r="C310" s="847" t="s">
        <v>1122</v>
      </c>
      <c r="D310" s="848"/>
      <c r="E310" s="848"/>
      <c r="F310" s="848"/>
      <c r="G310" s="849"/>
      <c r="H310" s="271" t="s">
        <v>1106</v>
      </c>
      <c r="I310" s="273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  <c r="W310" s="271"/>
    </row>
    <row r="311" spans="1:23" s="270" customFormat="1" ht="8.1" customHeight="1" x14ac:dyDescent="0.25">
      <c r="A311" s="812" t="s">
        <v>1123</v>
      </c>
      <c r="B311" s="813"/>
      <c r="C311" s="847" t="s">
        <v>1124</v>
      </c>
      <c r="D311" s="848"/>
      <c r="E311" s="848"/>
      <c r="F311" s="848"/>
      <c r="G311" s="849"/>
      <c r="H311" s="271" t="s">
        <v>1106</v>
      </c>
      <c r="I311" s="273"/>
      <c r="J311" s="273"/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  <c r="W311" s="271"/>
    </row>
    <row r="312" spans="1:23" s="270" customFormat="1" ht="16.5" customHeight="1" x14ac:dyDescent="0.25">
      <c r="A312" s="812" t="s">
        <v>1125</v>
      </c>
      <c r="B312" s="813"/>
      <c r="C312" s="847" t="s">
        <v>1126</v>
      </c>
      <c r="D312" s="848"/>
      <c r="E312" s="848"/>
      <c r="F312" s="848"/>
      <c r="G312" s="849"/>
      <c r="H312" s="271" t="s">
        <v>1106</v>
      </c>
      <c r="I312" s="273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  <c r="W312" s="271"/>
    </row>
    <row r="313" spans="1:23" s="270" customFormat="1" ht="8.1" customHeight="1" x14ac:dyDescent="0.25">
      <c r="A313" s="812" t="s">
        <v>1127</v>
      </c>
      <c r="B313" s="813"/>
      <c r="C313" s="864" t="s">
        <v>721</v>
      </c>
      <c r="D313" s="865"/>
      <c r="E313" s="865"/>
      <c r="F313" s="865"/>
      <c r="G313" s="866"/>
      <c r="H313" s="271" t="s">
        <v>1106</v>
      </c>
      <c r="I313" s="273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  <c r="W313" s="271"/>
    </row>
    <row r="314" spans="1:23" s="270" customFormat="1" ht="9" customHeight="1" thickBot="1" x14ac:dyDescent="0.3">
      <c r="A314" s="883" t="s">
        <v>1128</v>
      </c>
      <c r="B314" s="884"/>
      <c r="C314" s="902" t="s">
        <v>723</v>
      </c>
      <c r="D314" s="903"/>
      <c r="E314" s="903"/>
      <c r="F314" s="903"/>
      <c r="G314" s="904"/>
      <c r="H314" s="290" t="s">
        <v>1106</v>
      </c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0"/>
    </row>
    <row r="315" spans="1:23" s="270" customFormat="1" ht="10.5" customHeight="1" thickBot="1" x14ac:dyDescent="0.25">
      <c r="A315" s="828" t="s">
        <v>1129</v>
      </c>
      <c r="B315" s="829"/>
      <c r="C315" s="829"/>
      <c r="D315" s="829"/>
      <c r="E315" s="829"/>
      <c r="F315" s="829"/>
      <c r="G315" s="829"/>
      <c r="H315" s="829"/>
      <c r="I315" s="829"/>
      <c r="J315" s="829"/>
      <c r="K315" s="829"/>
      <c r="L315" s="829"/>
      <c r="M315" s="829"/>
      <c r="N315" s="829"/>
      <c r="O315" s="829"/>
      <c r="P315" s="829"/>
      <c r="Q315" s="829"/>
      <c r="R315" s="829"/>
      <c r="S315" s="829"/>
      <c r="T315" s="829"/>
      <c r="U315" s="829"/>
      <c r="V315" s="829"/>
      <c r="W315" s="830"/>
    </row>
    <row r="316" spans="1:23" s="270" customFormat="1" ht="9.75" customHeight="1" x14ac:dyDescent="0.25">
      <c r="A316" s="812" t="s">
        <v>1130</v>
      </c>
      <c r="B316" s="813"/>
      <c r="C316" s="888" t="s">
        <v>1131</v>
      </c>
      <c r="D316" s="889"/>
      <c r="E316" s="889"/>
      <c r="F316" s="889"/>
      <c r="G316" s="890"/>
      <c r="H316" s="271" t="s">
        <v>73</v>
      </c>
      <c r="I316" s="272" t="s">
        <v>1132</v>
      </c>
      <c r="J316" s="273" t="s">
        <v>1132</v>
      </c>
      <c r="K316" s="273" t="s">
        <v>1132</v>
      </c>
      <c r="L316" s="273" t="s">
        <v>1132</v>
      </c>
      <c r="M316" s="273" t="s">
        <v>1132</v>
      </c>
      <c r="N316" s="273" t="s">
        <v>1132</v>
      </c>
      <c r="O316" s="273" t="s">
        <v>1132</v>
      </c>
      <c r="P316" s="273" t="s">
        <v>1132</v>
      </c>
      <c r="Q316" s="273" t="s">
        <v>1132</v>
      </c>
      <c r="R316" s="273" t="s">
        <v>1132</v>
      </c>
      <c r="S316" s="273" t="s">
        <v>1132</v>
      </c>
      <c r="T316" s="273" t="s">
        <v>1132</v>
      </c>
      <c r="U316" s="273" t="s">
        <v>1132</v>
      </c>
      <c r="V316" s="273" t="s">
        <v>1132</v>
      </c>
      <c r="W316" s="271" t="s">
        <v>1132</v>
      </c>
    </row>
    <row r="317" spans="1:23" s="270" customFormat="1" ht="8.25" customHeight="1" x14ac:dyDescent="0.25">
      <c r="A317" s="812" t="s">
        <v>1133</v>
      </c>
      <c r="B317" s="813"/>
      <c r="C317" s="814" t="s">
        <v>1134</v>
      </c>
      <c r="D317" s="815"/>
      <c r="E317" s="815"/>
      <c r="F317" s="815"/>
      <c r="G317" s="816"/>
      <c r="H317" s="271" t="s">
        <v>187</v>
      </c>
      <c r="I317" s="272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  <c r="W317" s="271"/>
    </row>
    <row r="318" spans="1:23" s="270" customFormat="1" ht="8.25" customHeight="1" x14ac:dyDescent="0.25">
      <c r="A318" s="812" t="s">
        <v>1135</v>
      </c>
      <c r="B318" s="813"/>
      <c r="C318" s="814" t="s">
        <v>1136</v>
      </c>
      <c r="D318" s="815"/>
      <c r="E318" s="815"/>
      <c r="F318" s="815"/>
      <c r="G318" s="816"/>
      <c r="H318" s="271" t="s">
        <v>1137</v>
      </c>
      <c r="I318" s="272"/>
      <c r="J318" s="27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  <c r="W318" s="271"/>
    </row>
    <row r="319" spans="1:23" s="270" customFormat="1" ht="8.25" customHeight="1" x14ac:dyDescent="0.25">
      <c r="A319" s="812" t="s">
        <v>1138</v>
      </c>
      <c r="B319" s="813"/>
      <c r="C319" s="814" t="s">
        <v>1139</v>
      </c>
      <c r="D319" s="815"/>
      <c r="E319" s="815"/>
      <c r="F319" s="815"/>
      <c r="G319" s="816"/>
      <c r="H319" s="271" t="s">
        <v>187</v>
      </c>
      <c r="I319" s="272"/>
      <c r="J319" s="273"/>
      <c r="K319" s="273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  <c r="W319" s="271"/>
    </row>
    <row r="320" spans="1:23" s="270" customFormat="1" ht="8.25" customHeight="1" x14ac:dyDescent="0.25">
      <c r="A320" s="812" t="s">
        <v>1140</v>
      </c>
      <c r="B320" s="813"/>
      <c r="C320" s="814" t="s">
        <v>1141</v>
      </c>
      <c r="D320" s="815"/>
      <c r="E320" s="815"/>
      <c r="F320" s="815"/>
      <c r="G320" s="816"/>
      <c r="H320" s="271" t="s">
        <v>1137</v>
      </c>
      <c r="I320" s="272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1"/>
    </row>
    <row r="321" spans="1:23" s="270" customFormat="1" ht="8.25" customHeight="1" x14ac:dyDescent="0.25">
      <c r="A321" s="812" t="s">
        <v>1142</v>
      </c>
      <c r="B321" s="813"/>
      <c r="C321" s="814" t="s">
        <v>1143</v>
      </c>
      <c r="D321" s="815"/>
      <c r="E321" s="815"/>
      <c r="F321" s="815"/>
      <c r="G321" s="816"/>
      <c r="H321" s="271" t="s">
        <v>1144</v>
      </c>
      <c r="I321" s="272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  <c r="W321" s="271"/>
    </row>
    <row r="322" spans="1:23" s="270" customFormat="1" ht="8.25" customHeight="1" x14ac:dyDescent="0.25">
      <c r="A322" s="812" t="s">
        <v>1145</v>
      </c>
      <c r="B322" s="813"/>
      <c r="C322" s="814" t="s">
        <v>1146</v>
      </c>
      <c r="D322" s="815"/>
      <c r="E322" s="815"/>
      <c r="F322" s="815"/>
      <c r="G322" s="816"/>
      <c r="H322" s="271" t="s">
        <v>73</v>
      </c>
      <c r="I322" s="272" t="s">
        <v>1132</v>
      </c>
      <c r="J322" s="273" t="s">
        <v>1132</v>
      </c>
      <c r="K322" s="273" t="s">
        <v>1132</v>
      </c>
      <c r="L322" s="273" t="s">
        <v>1132</v>
      </c>
      <c r="M322" s="273" t="s">
        <v>1132</v>
      </c>
      <c r="N322" s="273" t="s">
        <v>1132</v>
      </c>
      <c r="O322" s="273" t="s">
        <v>1132</v>
      </c>
      <c r="P322" s="273" t="s">
        <v>1132</v>
      </c>
      <c r="Q322" s="273" t="s">
        <v>1132</v>
      </c>
      <c r="R322" s="273" t="s">
        <v>1132</v>
      </c>
      <c r="S322" s="273" t="s">
        <v>1132</v>
      </c>
      <c r="T322" s="273" t="s">
        <v>1132</v>
      </c>
      <c r="U322" s="273" t="s">
        <v>1132</v>
      </c>
      <c r="V322" s="273" t="s">
        <v>1132</v>
      </c>
      <c r="W322" s="271" t="s">
        <v>1132</v>
      </c>
    </row>
    <row r="323" spans="1:23" s="270" customFormat="1" ht="8.1" customHeight="1" x14ac:dyDescent="0.25">
      <c r="A323" s="812" t="s">
        <v>1147</v>
      </c>
      <c r="B323" s="813"/>
      <c r="C323" s="847" t="s">
        <v>1148</v>
      </c>
      <c r="D323" s="848"/>
      <c r="E323" s="848"/>
      <c r="F323" s="848"/>
      <c r="G323" s="849"/>
      <c r="H323" s="271" t="s">
        <v>1144</v>
      </c>
      <c r="I323" s="272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  <c r="W323" s="271"/>
    </row>
    <row r="324" spans="1:23" s="270" customFormat="1" ht="8.1" customHeight="1" x14ac:dyDescent="0.25">
      <c r="A324" s="812" t="s">
        <v>1149</v>
      </c>
      <c r="B324" s="813"/>
      <c r="C324" s="847" t="s">
        <v>1150</v>
      </c>
      <c r="D324" s="848"/>
      <c r="E324" s="848"/>
      <c r="F324" s="848"/>
      <c r="G324" s="849"/>
      <c r="H324" s="271" t="s">
        <v>1151</v>
      </c>
      <c r="I324" s="272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  <c r="W324" s="271"/>
    </row>
    <row r="325" spans="1:23" s="270" customFormat="1" ht="8.25" customHeight="1" x14ac:dyDescent="0.25">
      <c r="A325" s="812" t="s">
        <v>1152</v>
      </c>
      <c r="B325" s="813"/>
      <c r="C325" s="814" t="s">
        <v>1153</v>
      </c>
      <c r="D325" s="815"/>
      <c r="E325" s="815"/>
      <c r="F325" s="815"/>
      <c r="G325" s="816"/>
      <c r="H325" s="271" t="s">
        <v>73</v>
      </c>
      <c r="I325" s="272" t="s">
        <v>1132</v>
      </c>
      <c r="J325" s="273" t="s">
        <v>1132</v>
      </c>
      <c r="K325" s="273" t="s">
        <v>1132</v>
      </c>
      <c r="L325" s="273" t="s">
        <v>1132</v>
      </c>
      <c r="M325" s="273" t="s">
        <v>1132</v>
      </c>
      <c r="N325" s="273" t="s">
        <v>1132</v>
      </c>
      <c r="O325" s="273" t="s">
        <v>1132</v>
      </c>
      <c r="P325" s="273" t="s">
        <v>1132</v>
      </c>
      <c r="Q325" s="273" t="s">
        <v>1132</v>
      </c>
      <c r="R325" s="273" t="s">
        <v>1132</v>
      </c>
      <c r="S325" s="273" t="s">
        <v>1132</v>
      </c>
      <c r="T325" s="273" t="s">
        <v>1132</v>
      </c>
      <c r="U325" s="273" t="s">
        <v>1132</v>
      </c>
      <c r="V325" s="273" t="s">
        <v>1132</v>
      </c>
      <c r="W325" s="271" t="s">
        <v>1132</v>
      </c>
    </row>
    <row r="326" spans="1:23" s="270" customFormat="1" ht="8.1" customHeight="1" x14ac:dyDescent="0.25">
      <c r="A326" s="812" t="s">
        <v>1154</v>
      </c>
      <c r="B326" s="813"/>
      <c r="C326" s="847" t="s">
        <v>1148</v>
      </c>
      <c r="D326" s="848"/>
      <c r="E326" s="848"/>
      <c r="F326" s="848"/>
      <c r="G326" s="849"/>
      <c r="H326" s="271" t="s">
        <v>1144</v>
      </c>
      <c r="I326" s="272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  <c r="W326" s="271"/>
    </row>
    <row r="327" spans="1:23" s="270" customFormat="1" ht="8.1" customHeight="1" x14ac:dyDescent="0.25">
      <c r="A327" s="812" t="s">
        <v>1155</v>
      </c>
      <c r="B327" s="813"/>
      <c r="C327" s="847" t="s">
        <v>1156</v>
      </c>
      <c r="D327" s="848"/>
      <c r="E327" s="848"/>
      <c r="F327" s="848"/>
      <c r="G327" s="849"/>
      <c r="H327" s="271" t="s">
        <v>187</v>
      </c>
      <c r="I327" s="272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  <c r="W327" s="271"/>
    </row>
    <row r="328" spans="1:23" s="270" customFormat="1" ht="8.1" customHeight="1" x14ac:dyDescent="0.25">
      <c r="A328" s="812" t="s">
        <v>1157</v>
      </c>
      <c r="B328" s="813"/>
      <c r="C328" s="847" t="s">
        <v>1150</v>
      </c>
      <c r="D328" s="848"/>
      <c r="E328" s="848"/>
      <c r="F328" s="848"/>
      <c r="G328" s="849"/>
      <c r="H328" s="271" t="s">
        <v>1151</v>
      </c>
      <c r="I328" s="272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  <c r="W328" s="271"/>
    </row>
    <row r="329" spans="1:23" s="270" customFormat="1" ht="8.25" customHeight="1" x14ac:dyDescent="0.25">
      <c r="A329" s="812" t="s">
        <v>1158</v>
      </c>
      <c r="B329" s="813"/>
      <c r="C329" s="814" t="s">
        <v>1159</v>
      </c>
      <c r="D329" s="815"/>
      <c r="E329" s="815"/>
      <c r="F329" s="815"/>
      <c r="G329" s="816"/>
      <c r="H329" s="271" t="s">
        <v>73</v>
      </c>
      <c r="I329" s="272" t="s">
        <v>1132</v>
      </c>
      <c r="J329" s="273" t="s">
        <v>1132</v>
      </c>
      <c r="K329" s="273" t="s">
        <v>1132</v>
      </c>
      <c r="L329" s="273" t="s">
        <v>1132</v>
      </c>
      <c r="M329" s="273" t="s">
        <v>1132</v>
      </c>
      <c r="N329" s="273" t="s">
        <v>1132</v>
      </c>
      <c r="O329" s="273" t="s">
        <v>1132</v>
      </c>
      <c r="P329" s="273" t="s">
        <v>1132</v>
      </c>
      <c r="Q329" s="273" t="s">
        <v>1132</v>
      </c>
      <c r="R329" s="273" t="s">
        <v>1132</v>
      </c>
      <c r="S329" s="273" t="s">
        <v>1132</v>
      </c>
      <c r="T329" s="273" t="s">
        <v>1132</v>
      </c>
      <c r="U329" s="273" t="s">
        <v>1132</v>
      </c>
      <c r="V329" s="273" t="s">
        <v>1132</v>
      </c>
      <c r="W329" s="271" t="s">
        <v>1132</v>
      </c>
    </row>
    <row r="330" spans="1:23" s="270" customFormat="1" ht="8.1" customHeight="1" x14ac:dyDescent="0.25">
      <c r="A330" s="812" t="s">
        <v>1160</v>
      </c>
      <c r="B330" s="813"/>
      <c r="C330" s="847" t="s">
        <v>1148</v>
      </c>
      <c r="D330" s="848"/>
      <c r="E330" s="848"/>
      <c r="F330" s="848"/>
      <c r="G330" s="849"/>
      <c r="H330" s="271" t="s">
        <v>1144</v>
      </c>
      <c r="I330" s="272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1"/>
    </row>
    <row r="331" spans="1:23" s="270" customFormat="1" ht="8.1" customHeight="1" x14ac:dyDescent="0.25">
      <c r="A331" s="812" t="s">
        <v>1161</v>
      </c>
      <c r="B331" s="813"/>
      <c r="C331" s="847" t="s">
        <v>1150</v>
      </c>
      <c r="D331" s="848"/>
      <c r="E331" s="848"/>
      <c r="F331" s="848"/>
      <c r="G331" s="849"/>
      <c r="H331" s="271" t="s">
        <v>1151</v>
      </c>
      <c r="I331" s="272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  <c r="W331" s="271"/>
    </row>
    <row r="332" spans="1:23" s="270" customFormat="1" ht="8.25" customHeight="1" x14ac:dyDescent="0.25">
      <c r="A332" s="812" t="s">
        <v>1162</v>
      </c>
      <c r="B332" s="813"/>
      <c r="C332" s="814" t="s">
        <v>1163</v>
      </c>
      <c r="D332" s="815"/>
      <c r="E332" s="815"/>
      <c r="F332" s="815"/>
      <c r="G332" s="816"/>
      <c r="H332" s="271" t="s">
        <v>73</v>
      </c>
      <c r="I332" s="272" t="s">
        <v>1132</v>
      </c>
      <c r="J332" s="273" t="s">
        <v>1132</v>
      </c>
      <c r="K332" s="273" t="s">
        <v>1132</v>
      </c>
      <c r="L332" s="273" t="s">
        <v>1132</v>
      </c>
      <c r="M332" s="273" t="s">
        <v>1132</v>
      </c>
      <c r="N332" s="273" t="s">
        <v>1132</v>
      </c>
      <c r="O332" s="273" t="s">
        <v>1132</v>
      </c>
      <c r="P332" s="273" t="s">
        <v>1132</v>
      </c>
      <c r="Q332" s="273" t="s">
        <v>1132</v>
      </c>
      <c r="R332" s="273" t="s">
        <v>1132</v>
      </c>
      <c r="S332" s="273" t="s">
        <v>1132</v>
      </c>
      <c r="T332" s="273" t="s">
        <v>1132</v>
      </c>
      <c r="U332" s="273" t="s">
        <v>1132</v>
      </c>
      <c r="V332" s="273" t="s">
        <v>1132</v>
      </c>
      <c r="W332" s="271" t="s">
        <v>1132</v>
      </c>
    </row>
    <row r="333" spans="1:23" s="270" customFormat="1" ht="8.1" customHeight="1" x14ac:dyDescent="0.25">
      <c r="A333" s="812" t="s">
        <v>1164</v>
      </c>
      <c r="B333" s="813"/>
      <c r="C333" s="847" t="s">
        <v>1148</v>
      </c>
      <c r="D333" s="848"/>
      <c r="E333" s="848"/>
      <c r="F333" s="848"/>
      <c r="G333" s="849"/>
      <c r="H333" s="271" t="s">
        <v>1144</v>
      </c>
      <c r="I333" s="272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  <c r="W333" s="271"/>
    </row>
    <row r="334" spans="1:23" s="270" customFormat="1" ht="8.1" customHeight="1" x14ac:dyDescent="0.25">
      <c r="A334" s="812" t="s">
        <v>1165</v>
      </c>
      <c r="B334" s="813"/>
      <c r="C334" s="847" t="s">
        <v>1156</v>
      </c>
      <c r="D334" s="848"/>
      <c r="E334" s="848"/>
      <c r="F334" s="848"/>
      <c r="G334" s="849"/>
      <c r="H334" s="271" t="s">
        <v>187</v>
      </c>
      <c r="I334" s="272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  <c r="W334" s="271"/>
    </row>
    <row r="335" spans="1:23" s="270" customFormat="1" ht="8.1" customHeight="1" x14ac:dyDescent="0.25">
      <c r="A335" s="812" t="s">
        <v>1166</v>
      </c>
      <c r="B335" s="813"/>
      <c r="C335" s="847" t="s">
        <v>1150</v>
      </c>
      <c r="D335" s="848"/>
      <c r="E335" s="848"/>
      <c r="F335" s="848"/>
      <c r="G335" s="849"/>
      <c r="H335" s="271" t="s">
        <v>1151</v>
      </c>
      <c r="I335" s="272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  <c r="W335" s="271"/>
    </row>
    <row r="336" spans="1:23" s="270" customFormat="1" ht="9" customHeight="1" x14ac:dyDescent="0.25">
      <c r="A336" s="812" t="s">
        <v>1167</v>
      </c>
      <c r="B336" s="813"/>
      <c r="C336" s="888" t="s">
        <v>1168</v>
      </c>
      <c r="D336" s="889"/>
      <c r="E336" s="889"/>
      <c r="F336" s="889"/>
      <c r="G336" s="890"/>
      <c r="H336" s="271" t="s">
        <v>73</v>
      </c>
      <c r="I336" s="272" t="s">
        <v>1132</v>
      </c>
      <c r="J336" s="273" t="s">
        <v>1132</v>
      </c>
      <c r="K336" s="273" t="s">
        <v>1132</v>
      </c>
      <c r="L336" s="273" t="s">
        <v>1132</v>
      </c>
      <c r="M336" s="273" t="s">
        <v>1132</v>
      </c>
      <c r="N336" s="273" t="s">
        <v>1132</v>
      </c>
      <c r="O336" s="273" t="s">
        <v>1132</v>
      </c>
      <c r="P336" s="273" t="s">
        <v>1132</v>
      </c>
      <c r="Q336" s="273" t="s">
        <v>1132</v>
      </c>
      <c r="R336" s="273" t="s">
        <v>1132</v>
      </c>
      <c r="S336" s="273" t="s">
        <v>1132</v>
      </c>
      <c r="T336" s="273" t="s">
        <v>1132</v>
      </c>
      <c r="U336" s="273" t="s">
        <v>1132</v>
      </c>
      <c r="V336" s="273" t="s">
        <v>1132</v>
      </c>
      <c r="W336" s="271" t="s">
        <v>1132</v>
      </c>
    </row>
    <row r="337" spans="1:23" s="270" customFormat="1" ht="8.25" customHeight="1" x14ac:dyDescent="0.25">
      <c r="A337" s="812" t="s">
        <v>1169</v>
      </c>
      <c r="B337" s="813"/>
      <c r="C337" s="855" t="s">
        <v>1170</v>
      </c>
      <c r="D337" s="856"/>
      <c r="E337" s="856"/>
      <c r="F337" s="856"/>
      <c r="G337" s="857"/>
      <c r="H337" s="279" t="s">
        <v>1144</v>
      </c>
      <c r="I337" s="280">
        <v>103.2835</v>
      </c>
      <c r="J337" s="280">
        <v>108.52809999999999</v>
      </c>
      <c r="K337" s="280">
        <v>132.55799999999999</v>
      </c>
      <c r="L337" s="280">
        <v>139.535</v>
      </c>
      <c r="M337" s="280"/>
      <c r="N337" s="280">
        <v>139.535</v>
      </c>
      <c r="O337" s="280"/>
      <c r="P337" s="280">
        <v>139.535</v>
      </c>
      <c r="Q337" s="280"/>
      <c r="R337" s="280">
        <v>139.535</v>
      </c>
      <c r="S337" s="280"/>
      <c r="T337" s="280">
        <v>139.535</v>
      </c>
      <c r="U337" s="280"/>
      <c r="V337" s="280"/>
      <c r="W337" s="279"/>
    </row>
    <row r="338" spans="1:23" s="270" customFormat="1" ht="16.5" customHeight="1" x14ac:dyDescent="0.25">
      <c r="A338" s="812" t="s">
        <v>1171</v>
      </c>
      <c r="B338" s="813"/>
      <c r="C338" s="847" t="s">
        <v>1172</v>
      </c>
      <c r="D338" s="848"/>
      <c r="E338" s="848"/>
      <c r="F338" s="848"/>
      <c r="G338" s="849"/>
      <c r="H338" s="271" t="s">
        <v>1144</v>
      </c>
      <c r="I338" s="273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  <c r="W338" s="271"/>
    </row>
    <row r="339" spans="1:23" s="270" customFormat="1" ht="8.1" customHeight="1" x14ac:dyDescent="0.25">
      <c r="A339" s="812" t="s">
        <v>1173</v>
      </c>
      <c r="B339" s="813"/>
      <c r="C339" s="864" t="s">
        <v>1174</v>
      </c>
      <c r="D339" s="865"/>
      <c r="E339" s="865"/>
      <c r="F339" s="865"/>
      <c r="G339" s="866"/>
      <c r="H339" s="271" t="s">
        <v>1144</v>
      </c>
      <c r="I339" s="273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  <c r="W339" s="271"/>
    </row>
    <row r="340" spans="1:23" s="270" customFormat="1" ht="8.1" customHeight="1" x14ac:dyDescent="0.25">
      <c r="A340" s="812" t="s">
        <v>1175</v>
      </c>
      <c r="B340" s="813"/>
      <c r="C340" s="864" t="s">
        <v>1176</v>
      </c>
      <c r="D340" s="865"/>
      <c r="E340" s="865"/>
      <c r="F340" s="865"/>
      <c r="G340" s="866"/>
      <c r="H340" s="271" t="s">
        <v>1144</v>
      </c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  <c r="W340" s="271"/>
    </row>
    <row r="341" spans="1:23" s="270" customFormat="1" ht="8.25" customHeight="1" x14ac:dyDescent="0.25">
      <c r="A341" s="812" t="s">
        <v>1177</v>
      </c>
      <c r="B341" s="813"/>
      <c r="C341" s="855" t="s">
        <v>1178</v>
      </c>
      <c r="D341" s="856"/>
      <c r="E341" s="856"/>
      <c r="F341" s="856"/>
      <c r="G341" s="857"/>
      <c r="H341" s="279" t="s">
        <v>1144</v>
      </c>
      <c r="I341" s="280">
        <v>2.2930000000000001</v>
      </c>
      <c r="J341" s="280">
        <v>8.2809000000000008</v>
      </c>
      <c r="K341" s="280">
        <v>6.9770000000000003</v>
      </c>
      <c r="L341" s="280">
        <v>8.66</v>
      </c>
      <c r="M341" s="280"/>
      <c r="N341" s="280">
        <v>8.66</v>
      </c>
      <c r="O341" s="280"/>
      <c r="P341" s="280">
        <v>8.66</v>
      </c>
      <c r="Q341" s="280"/>
      <c r="R341" s="280">
        <v>8.66</v>
      </c>
      <c r="S341" s="280"/>
      <c r="T341" s="280">
        <v>8.66</v>
      </c>
      <c r="U341" s="280"/>
      <c r="V341" s="280"/>
      <c r="W341" s="279"/>
    </row>
    <row r="342" spans="1:23" s="270" customFormat="1" ht="8.25" customHeight="1" x14ac:dyDescent="0.25">
      <c r="A342" s="812" t="s">
        <v>1179</v>
      </c>
      <c r="B342" s="813"/>
      <c r="C342" s="855" t="s">
        <v>1180</v>
      </c>
      <c r="D342" s="856"/>
      <c r="E342" s="856"/>
      <c r="F342" s="856"/>
      <c r="G342" s="857"/>
      <c r="H342" s="279" t="s">
        <v>187</v>
      </c>
      <c r="I342" s="280">
        <v>10.984</v>
      </c>
      <c r="J342" s="280">
        <v>21.238</v>
      </c>
      <c r="K342" s="280">
        <v>25.37</v>
      </c>
      <c r="L342" s="280">
        <v>25.155999999999999</v>
      </c>
      <c r="M342" s="280"/>
      <c r="N342" s="280">
        <v>25.155999999999999</v>
      </c>
      <c r="O342" s="280"/>
      <c r="P342" s="280">
        <v>25.155999999999999</v>
      </c>
      <c r="Q342" s="280"/>
      <c r="R342" s="280">
        <v>25.155999999999999</v>
      </c>
      <c r="S342" s="280"/>
      <c r="T342" s="280">
        <v>25.155999999999999</v>
      </c>
      <c r="U342" s="280"/>
      <c r="V342" s="280"/>
      <c r="W342" s="279"/>
    </row>
    <row r="343" spans="1:23" s="270" customFormat="1" ht="16.5" customHeight="1" x14ac:dyDescent="0.25">
      <c r="A343" s="812" t="s">
        <v>1181</v>
      </c>
      <c r="B343" s="813"/>
      <c r="C343" s="847" t="s">
        <v>1182</v>
      </c>
      <c r="D343" s="848"/>
      <c r="E343" s="848"/>
      <c r="F343" s="848"/>
      <c r="G343" s="849"/>
      <c r="H343" s="271" t="s">
        <v>187</v>
      </c>
      <c r="I343" s="273"/>
      <c r="J343" s="27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  <c r="W343" s="271"/>
    </row>
    <row r="344" spans="1:23" s="270" customFormat="1" ht="8.1" customHeight="1" x14ac:dyDescent="0.25">
      <c r="A344" s="812" t="s">
        <v>1183</v>
      </c>
      <c r="B344" s="813"/>
      <c r="C344" s="864" t="s">
        <v>1174</v>
      </c>
      <c r="D344" s="865"/>
      <c r="E344" s="865"/>
      <c r="F344" s="865"/>
      <c r="G344" s="866"/>
      <c r="H344" s="271" t="s">
        <v>187</v>
      </c>
      <c r="I344" s="273"/>
      <c r="J344" s="27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  <c r="W344" s="271"/>
    </row>
    <row r="345" spans="1:23" s="270" customFormat="1" ht="8.1" customHeight="1" x14ac:dyDescent="0.25">
      <c r="A345" s="812" t="s">
        <v>1184</v>
      </c>
      <c r="B345" s="813"/>
      <c r="C345" s="864" t="s">
        <v>1176</v>
      </c>
      <c r="D345" s="865"/>
      <c r="E345" s="865"/>
      <c r="F345" s="865"/>
      <c r="G345" s="866"/>
      <c r="H345" s="271" t="s">
        <v>187</v>
      </c>
      <c r="I345" s="273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  <c r="W345" s="271"/>
    </row>
    <row r="346" spans="1:23" s="270" customFormat="1" ht="8.25" customHeight="1" x14ac:dyDescent="0.25">
      <c r="A346" s="812" t="s">
        <v>1185</v>
      </c>
      <c r="B346" s="813"/>
      <c r="C346" s="855" t="s">
        <v>1186</v>
      </c>
      <c r="D346" s="856"/>
      <c r="E346" s="856"/>
      <c r="F346" s="856"/>
      <c r="G346" s="857"/>
      <c r="H346" s="279" t="s">
        <v>1187</v>
      </c>
      <c r="I346" s="280">
        <v>1502.31</v>
      </c>
      <c r="J346" s="280">
        <v>2216.56</v>
      </c>
      <c r="K346" s="280">
        <v>2216.56</v>
      </c>
      <c r="L346" s="280">
        <v>2216.56</v>
      </c>
      <c r="M346" s="280"/>
      <c r="N346" s="280">
        <v>2216.56</v>
      </c>
      <c r="O346" s="280"/>
      <c r="P346" s="280">
        <v>2216.56</v>
      </c>
      <c r="Q346" s="280"/>
      <c r="R346" s="280">
        <v>2216.56</v>
      </c>
      <c r="S346" s="280"/>
      <c r="T346" s="280">
        <v>2216.56</v>
      </c>
      <c r="U346" s="280"/>
      <c r="V346" s="280"/>
      <c r="W346" s="279"/>
    </row>
    <row r="347" spans="1:23" s="270" customFormat="1" ht="16.5" customHeight="1" x14ac:dyDescent="0.25">
      <c r="A347" s="812" t="s">
        <v>1188</v>
      </c>
      <c r="B347" s="813"/>
      <c r="C347" s="819" t="s">
        <v>1189</v>
      </c>
      <c r="D347" s="820"/>
      <c r="E347" s="820"/>
      <c r="F347" s="820"/>
      <c r="G347" s="821"/>
      <c r="H347" s="274" t="s">
        <v>704</v>
      </c>
      <c r="I347" s="276">
        <f t="shared" ref="I347:W347" si="160">I26-I60-I61-I54</f>
        <v>80.27</v>
      </c>
      <c r="J347" s="276">
        <f t="shared" si="160"/>
        <v>73.804000000000002</v>
      </c>
      <c r="K347" s="276">
        <f t="shared" si="160"/>
        <v>78.466240000000013</v>
      </c>
      <c r="L347" s="276">
        <f t="shared" si="160"/>
        <v>82.421331205408023</v>
      </c>
      <c r="M347" s="276">
        <f t="shared" si="160"/>
        <v>0</v>
      </c>
      <c r="N347" s="276">
        <f t="shared" si="160"/>
        <v>86.699272599754153</v>
      </c>
      <c r="O347" s="276">
        <f t="shared" si="160"/>
        <v>0</v>
      </c>
      <c r="P347" s="276">
        <f t="shared" si="160"/>
        <v>91.013643326240128</v>
      </c>
      <c r="Q347" s="276">
        <f t="shared" si="160"/>
        <v>0</v>
      </c>
      <c r="R347" s="276">
        <f t="shared" si="160"/>
        <v>95.568475754227862</v>
      </c>
      <c r="S347" s="276">
        <f t="shared" si="160"/>
        <v>0</v>
      </c>
      <c r="T347" s="276">
        <f t="shared" si="160"/>
        <v>100.37894862399503</v>
      </c>
      <c r="U347" s="276">
        <f t="shared" si="160"/>
        <v>0</v>
      </c>
      <c r="V347" s="276">
        <f t="shared" si="160"/>
        <v>456.08167150962521</v>
      </c>
      <c r="W347" s="276">
        <f t="shared" si="160"/>
        <v>0</v>
      </c>
    </row>
    <row r="348" spans="1:23" s="270" customFormat="1" ht="9" customHeight="1" x14ac:dyDescent="0.25">
      <c r="A348" s="812" t="s">
        <v>1190</v>
      </c>
      <c r="B348" s="813"/>
      <c r="C348" s="888" t="s">
        <v>1191</v>
      </c>
      <c r="D348" s="889"/>
      <c r="E348" s="889"/>
      <c r="F348" s="889"/>
      <c r="G348" s="890"/>
      <c r="H348" s="271" t="s">
        <v>73</v>
      </c>
      <c r="I348" s="273" t="s">
        <v>1132</v>
      </c>
      <c r="J348" s="273" t="s">
        <v>1132</v>
      </c>
      <c r="K348" s="273" t="s">
        <v>1132</v>
      </c>
      <c r="L348" s="273" t="s">
        <v>1132</v>
      </c>
      <c r="M348" s="273" t="s">
        <v>1132</v>
      </c>
      <c r="N348" s="273" t="s">
        <v>1132</v>
      </c>
      <c r="O348" s="273" t="s">
        <v>1132</v>
      </c>
      <c r="P348" s="273" t="s">
        <v>1132</v>
      </c>
      <c r="Q348" s="273" t="s">
        <v>1132</v>
      </c>
      <c r="R348" s="273" t="s">
        <v>1132</v>
      </c>
      <c r="S348" s="273" t="s">
        <v>1132</v>
      </c>
      <c r="T348" s="273" t="s">
        <v>1132</v>
      </c>
      <c r="U348" s="273" t="s">
        <v>1132</v>
      </c>
      <c r="V348" s="273" t="s">
        <v>1132</v>
      </c>
      <c r="W348" s="271" t="s">
        <v>1132</v>
      </c>
    </row>
    <row r="349" spans="1:23" s="270" customFormat="1" ht="8.1" customHeight="1" x14ac:dyDescent="0.25">
      <c r="A349" s="812" t="s">
        <v>1192</v>
      </c>
      <c r="B349" s="813"/>
      <c r="C349" s="814" t="s">
        <v>1193</v>
      </c>
      <c r="D349" s="815"/>
      <c r="E349" s="815"/>
      <c r="F349" s="815"/>
      <c r="G349" s="816"/>
      <c r="H349" s="271" t="s">
        <v>1144</v>
      </c>
      <c r="I349" s="273"/>
      <c r="J349" s="273"/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  <c r="W349" s="271"/>
    </row>
    <row r="350" spans="1:23" s="270" customFormat="1" x14ac:dyDescent="0.25">
      <c r="A350" s="812" t="s">
        <v>1194</v>
      </c>
      <c r="B350" s="813"/>
      <c r="C350" s="814" t="s">
        <v>1195</v>
      </c>
      <c r="D350" s="815"/>
      <c r="E350" s="815"/>
      <c r="F350" s="815"/>
      <c r="G350" s="816"/>
      <c r="H350" s="271" t="s">
        <v>1137</v>
      </c>
      <c r="I350" s="273"/>
      <c r="J350" s="273"/>
      <c r="K350" s="273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  <c r="W350" s="271"/>
    </row>
    <row r="351" spans="1:23" s="270" customFormat="1" ht="24.75" customHeight="1" x14ac:dyDescent="0.25">
      <c r="A351" s="812" t="s">
        <v>1196</v>
      </c>
      <c r="B351" s="813"/>
      <c r="C351" s="814" t="s">
        <v>1197</v>
      </c>
      <c r="D351" s="815"/>
      <c r="E351" s="815"/>
      <c r="F351" s="815"/>
      <c r="G351" s="816"/>
      <c r="H351" s="271" t="s">
        <v>704</v>
      </c>
      <c r="I351" s="273"/>
      <c r="J351" s="273"/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  <c r="W351" s="271"/>
    </row>
    <row r="352" spans="1:23" s="270" customFormat="1" ht="16.5" customHeight="1" x14ac:dyDescent="0.25">
      <c r="A352" s="812" t="s">
        <v>1198</v>
      </c>
      <c r="B352" s="813"/>
      <c r="C352" s="814" t="s">
        <v>1199</v>
      </c>
      <c r="D352" s="815"/>
      <c r="E352" s="815"/>
      <c r="F352" s="815"/>
      <c r="G352" s="816"/>
      <c r="H352" s="271" t="s">
        <v>704</v>
      </c>
      <c r="I352" s="273"/>
      <c r="J352" s="273"/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  <c r="W352" s="271"/>
    </row>
    <row r="353" spans="1:23" s="270" customFormat="1" ht="9" customHeight="1" x14ac:dyDescent="0.25">
      <c r="A353" s="812" t="s">
        <v>1200</v>
      </c>
      <c r="B353" s="813"/>
      <c r="C353" s="888" t="s">
        <v>1201</v>
      </c>
      <c r="D353" s="889"/>
      <c r="E353" s="889"/>
      <c r="F353" s="889"/>
      <c r="G353" s="890"/>
      <c r="H353" s="271" t="s">
        <v>73</v>
      </c>
      <c r="I353" s="273" t="s">
        <v>1132</v>
      </c>
      <c r="J353" s="273" t="s">
        <v>1132</v>
      </c>
      <c r="K353" s="273" t="s">
        <v>1132</v>
      </c>
      <c r="L353" s="273" t="s">
        <v>1132</v>
      </c>
      <c r="M353" s="273" t="s">
        <v>1132</v>
      </c>
      <c r="N353" s="273" t="s">
        <v>1132</v>
      </c>
      <c r="O353" s="273" t="s">
        <v>1132</v>
      </c>
      <c r="P353" s="273" t="s">
        <v>1132</v>
      </c>
      <c r="Q353" s="273" t="s">
        <v>1132</v>
      </c>
      <c r="R353" s="273" t="s">
        <v>1132</v>
      </c>
      <c r="S353" s="273" t="s">
        <v>1132</v>
      </c>
      <c r="T353" s="273" t="s">
        <v>1132</v>
      </c>
      <c r="U353" s="273" t="s">
        <v>1132</v>
      </c>
      <c r="V353" s="273" t="s">
        <v>1132</v>
      </c>
      <c r="W353" s="271" t="s">
        <v>1132</v>
      </c>
    </row>
    <row r="354" spans="1:23" s="270" customFormat="1" ht="8.25" customHeight="1" x14ac:dyDescent="0.25">
      <c r="A354" s="812" t="s">
        <v>1202</v>
      </c>
      <c r="B354" s="813"/>
      <c r="C354" s="814" t="s">
        <v>1203</v>
      </c>
      <c r="D354" s="815"/>
      <c r="E354" s="815"/>
      <c r="F354" s="815"/>
      <c r="G354" s="816"/>
      <c r="H354" s="271" t="s">
        <v>187</v>
      </c>
      <c r="I354" s="273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1"/>
    </row>
    <row r="355" spans="1:23" s="270" customFormat="1" ht="24.75" customHeight="1" x14ac:dyDescent="0.25">
      <c r="A355" s="812" t="s">
        <v>1204</v>
      </c>
      <c r="B355" s="813"/>
      <c r="C355" s="847" t="s">
        <v>1205</v>
      </c>
      <c r="D355" s="848"/>
      <c r="E355" s="848"/>
      <c r="F355" s="848"/>
      <c r="G355" s="849"/>
      <c r="H355" s="271" t="s">
        <v>187</v>
      </c>
      <c r="I355" s="273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  <c r="W355" s="271"/>
    </row>
    <row r="356" spans="1:23" s="270" customFormat="1" ht="24.75" customHeight="1" x14ac:dyDescent="0.25">
      <c r="A356" s="812" t="s">
        <v>1206</v>
      </c>
      <c r="B356" s="813"/>
      <c r="C356" s="847" t="s">
        <v>1207</v>
      </c>
      <c r="D356" s="848"/>
      <c r="E356" s="848"/>
      <c r="F356" s="848"/>
      <c r="G356" s="849"/>
      <c r="H356" s="271" t="s">
        <v>187</v>
      </c>
      <c r="I356" s="273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  <c r="W356" s="271"/>
    </row>
    <row r="357" spans="1:23" s="270" customFormat="1" ht="16.5" customHeight="1" x14ac:dyDescent="0.25">
      <c r="A357" s="812" t="s">
        <v>1208</v>
      </c>
      <c r="B357" s="813"/>
      <c r="C357" s="847" t="s">
        <v>1209</v>
      </c>
      <c r="D357" s="848"/>
      <c r="E357" s="848"/>
      <c r="F357" s="848"/>
      <c r="G357" s="849"/>
      <c r="H357" s="271" t="s">
        <v>187</v>
      </c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  <c r="W357" s="271"/>
    </row>
    <row r="358" spans="1:23" s="270" customFormat="1" ht="8.25" customHeight="1" x14ac:dyDescent="0.25">
      <c r="A358" s="812" t="s">
        <v>1210</v>
      </c>
      <c r="B358" s="813"/>
      <c r="C358" s="814" t="s">
        <v>1211</v>
      </c>
      <c r="D358" s="815"/>
      <c r="E358" s="815"/>
      <c r="F358" s="815"/>
      <c r="G358" s="816"/>
      <c r="H358" s="271" t="s">
        <v>1144</v>
      </c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  <c r="W358" s="271"/>
    </row>
    <row r="359" spans="1:23" s="270" customFormat="1" ht="16.5" customHeight="1" x14ac:dyDescent="0.25">
      <c r="A359" s="812" t="s">
        <v>1212</v>
      </c>
      <c r="B359" s="813"/>
      <c r="C359" s="847" t="s">
        <v>1213</v>
      </c>
      <c r="D359" s="848"/>
      <c r="E359" s="848"/>
      <c r="F359" s="848"/>
      <c r="G359" s="849"/>
      <c r="H359" s="271" t="s">
        <v>1144</v>
      </c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  <c r="W359" s="271"/>
    </row>
    <row r="360" spans="1:23" s="270" customFormat="1" ht="8.1" customHeight="1" x14ac:dyDescent="0.25">
      <c r="A360" s="812" t="s">
        <v>1214</v>
      </c>
      <c r="B360" s="813"/>
      <c r="C360" s="847" t="s">
        <v>1215</v>
      </c>
      <c r="D360" s="848"/>
      <c r="E360" s="848"/>
      <c r="F360" s="848"/>
      <c r="G360" s="849"/>
      <c r="H360" s="271" t="s">
        <v>1144</v>
      </c>
      <c r="I360" s="273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  <c r="W360" s="271"/>
    </row>
    <row r="361" spans="1:23" s="270" customFormat="1" ht="16.5" customHeight="1" x14ac:dyDescent="0.25">
      <c r="A361" s="812" t="s">
        <v>1216</v>
      </c>
      <c r="B361" s="813"/>
      <c r="C361" s="814" t="s">
        <v>1217</v>
      </c>
      <c r="D361" s="815"/>
      <c r="E361" s="815"/>
      <c r="F361" s="815"/>
      <c r="G361" s="816"/>
      <c r="H361" s="271" t="s">
        <v>704</v>
      </c>
      <c r="I361" s="273"/>
      <c r="J361" s="273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  <c r="W361" s="271"/>
    </row>
    <row r="362" spans="1:23" s="270" customFormat="1" ht="8.1" customHeight="1" x14ac:dyDescent="0.25">
      <c r="A362" s="812" t="s">
        <v>1218</v>
      </c>
      <c r="B362" s="813"/>
      <c r="C362" s="847" t="s">
        <v>721</v>
      </c>
      <c r="D362" s="848"/>
      <c r="E362" s="848"/>
      <c r="F362" s="848"/>
      <c r="G362" s="849"/>
      <c r="H362" s="271" t="s">
        <v>704</v>
      </c>
      <c r="I362" s="273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  <c r="W362" s="271"/>
    </row>
    <row r="363" spans="1:23" s="270" customFormat="1" ht="8.1" customHeight="1" x14ac:dyDescent="0.25">
      <c r="A363" s="812" t="s">
        <v>1219</v>
      </c>
      <c r="B363" s="813"/>
      <c r="C363" s="847" t="s">
        <v>723</v>
      </c>
      <c r="D363" s="848"/>
      <c r="E363" s="848"/>
      <c r="F363" s="848"/>
      <c r="G363" s="849"/>
      <c r="H363" s="271" t="s">
        <v>704</v>
      </c>
      <c r="I363" s="273"/>
      <c r="J363" s="273"/>
      <c r="K363" s="273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  <c r="W363" s="271"/>
    </row>
    <row r="364" spans="1:23" s="270" customFormat="1" ht="9" customHeight="1" x14ac:dyDescent="0.25">
      <c r="A364" s="905" t="s">
        <v>1220</v>
      </c>
      <c r="B364" s="906"/>
      <c r="C364" s="907" t="s">
        <v>1221</v>
      </c>
      <c r="D364" s="908"/>
      <c r="E364" s="908"/>
      <c r="F364" s="908"/>
      <c r="G364" s="909"/>
      <c r="H364" s="301" t="s">
        <v>1222</v>
      </c>
      <c r="I364" s="302">
        <v>17.5</v>
      </c>
      <c r="J364" s="302">
        <v>29</v>
      </c>
      <c r="K364" s="302">
        <v>29</v>
      </c>
      <c r="L364" s="302">
        <v>29</v>
      </c>
      <c r="M364" s="302"/>
      <c r="N364" s="302">
        <v>29</v>
      </c>
      <c r="O364" s="302">
        <v>0</v>
      </c>
      <c r="P364" s="302">
        <v>29</v>
      </c>
      <c r="Q364" s="302">
        <v>0</v>
      </c>
      <c r="R364" s="302">
        <v>29</v>
      </c>
      <c r="S364" s="302">
        <v>0</v>
      </c>
      <c r="T364" s="302">
        <v>29</v>
      </c>
      <c r="U364" s="302">
        <v>0</v>
      </c>
      <c r="V364" s="302"/>
      <c r="W364" s="301"/>
    </row>
    <row r="365" spans="1:23" s="304" customFormat="1" ht="9.75" x14ac:dyDescent="0.2">
      <c r="A365" s="303" t="s">
        <v>1299</v>
      </c>
    </row>
    <row r="366" spans="1:23" s="304" customFormat="1" ht="9" customHeight="1" x14ac:dyDescent="0.15">
      <c r="A366" s="303" t="s">
        <v>1300</v>
      </c>
    </row>
    <row r="367" spans="1:23" s="304" customFormat="1" ht="9" customHeight="1" x14ac:dyDescent="0.15">
      <c r="A367" s="303" t="s">
        <v>1301</v>
      </c>
    </row>
    <row r="368" spans="1:23" s="304" customFormat="1" ht="9" customHeight="1" x14ac:dyDescent="0.15">
      <c r="A368" s="303" t="s">
        <v>1302</v>
      </c>
    </row>
    <row r="369" spans="1:1" s="304" customFormat="1" ht="9" customHeight="1" x14ac:dyDescent="0.15">
      <c r="A369" s="303" t="s">
        <v>1303</v>
      </c>
    </row>
    <row r="370" spans="1:1" s="304" customFormat="1" ht="9" customHeight="1" x14ac:dyDescent="0.15">
      <c r="A370" s="303" t="s">
        <v>1304</v>
      </c>
    </row>
    <row r="371" spans="1:1" s="304" customFormat="1" x14ac:dyDescent="0.15">
      <c r="A371" s="303" t="s">
        <v>1305</v>
      </c>
    </row>
    <row r="372" spans="1:1" s="304" customFormat="1" x14ac:dyDescent="0.15">
      <c r="A372" s="303" t="s">
        <v>1306</v>
      </c>
    </row>
    <row r="373" spans="1:1" s="304" customFormat="1" x14ac:dyDescent="0.15">
      <c r="A373" s="303" t="s">
        <v>1307</v>
      </c>
    </row>
  </sheetData>
  <mergeCells count="704">
    <mergeCell ref="A362:B362"/>
    <mergeCell ref="C362:G362"/>
    <mergeCell ref="A363:B363"/>
    <mergeCell ref="C363:G363"/>
    <mergeCell ref="A364:B364"/>
    <mergeCell ref="C364:G364"/>
    <mergeCell ref="A359:B359"/>
    <mergeCell ref="C359:G359"/>
    <mergeCell ref="A360:B360"/>
    <mergeCell ref="C360:G360"/>
    <mergeCell ref="A361:B361"/>
    <mergeCell ref="C361:G361"/>
    <mergeCell ref="A356:B356"/>
    <mergeCell ref="C356:G356"/>
    <mergeCell ref="A357:B357"/>
    <mergeCell ref="C357:G357"/>
    <mergeCell ref="A358:B358"/>
    <mergeCell ref="C358:G358"/>
    <mergeCell ref="A353:B353"/>
    <mergeCell ref="C353:G353"/>
    <mergeCell ref="A354:B354"/>
    <mergeCell ref="C354:G354"/>
    <mergeCell ref="A355:B355"/>
    <mergeCell ref="C355:G355"/>
    <mergeCell ref="A350:B350"/>
    <mergeCell ref="C350:G350"/>
    <mergeCell ref="A351:B351"/>
    <mergeCell ref="C351:G351"/>
    <mergeCell ref="A352:B352"/>
    <mergeCell ref="C352:G352"/>
    <mergeCell ref="A347:B347"/>
    <mergeCell ref="C347:G347"/>
    <mergeCell ref="A348:B348"/>
    <mergeCell ref="C348:G348"/>
    <mergeCell ref="A349:B349"/>
    <mergeCell ref="C349:G349"/>
    <mergeCell ref="A344:B344"/>
    <mergeCell ref="C344:G344"/>
    <mergeCell ref="A345:B345"/>
    <mergeCell ref="C345:G345"/>
    <mergeCell ref="A346:B346"/>
    <mergeCell ref="C346:G346"/>
    <mergeCell ref="A341:B341"/>
    <mergeCell ref="C341:G341"/>
    <mergeCell ref="A342:B342"/>
    <mergeCell ref="C342:G342"/>
    <mergeCell ref="A343:B343"/>
    <mergeCell ref="C343:G343"/>
    <mergeCell ref="A338:B338"/>
    <mergeCell ref="C338:G338"/>
    <mergeCell ref="A339:B339"/>
    <mergeCell ref="C339:G339"/>
    <mergeCell ref="A340:B340"/>
    <mergeCell ref="C340:G340"/>
    <mergeCell ref="A335:B335"/>
    <mergeCell ref="C335:G335"/>
    <mergeCell ref="A336:B336"/>
    <mergeCell ref="C336:G336"/>
    <mergeCell ref="A337:B337"/>
    <mergeCell ref="C337:G337"/>
    <mergeCell ref="A332:B332"/>
    <mergeCell ref="C332:G332"/>
    <mergeCell ref="A333:B333"/>
    <mergeCell ref="C333:G333"/>
    <mergeCell ref="A334:B334"/>
    <mergeCell ref="C334:G334"/>
    <mergeCell ref="A329:B329"/>
    <mergeCell ref="C329:G329"/>
    <mergeCell ref="A330:B330"/>
    <mergeCell ref="C330:G330"/>
    <mergeCell ref="A331:B331"/>
    <mergeCell ref="C331:G331"/>
    <mergeCell ref="A326:B326"/>
    <mergeCell ref="C326:G326"/>
    <mergeCell ref="A327:B327"/>
    <mergeCell ref="C327:G327"/>
    <mergeCell ref="A328:B328"/>
    <mergeCell ref="C328:G328"/>
    <mergeCell ref="A323:B323"/>
    <mergeCell ref="C323:G323"/>
    <mergeCell ref="A324:B324"/>
    <mergeCell ref="C324:G324"/>
    <mergeCell ref="A325:B325"/>
    <mergeCell ref="C325:G325"/>
    <mergeCell ref="A320:B320"/>
    <mergeCell ref="C320:G320"/>
    <mergeCell ref="A321:B321"/>
    <mergeCell ref="C321:G321"/>
    <mergeCell ref="A322:B322"/>
    <mergeCell ref="C322:G322"/>
    <mergeCell ref="A317:B317"/>
    <mergeCell ref="C317:G317"/>
    <mergeCell ref="A318:B318"/>
    <mergeCell ref="C318:G318"/>
    <mergeCell ref="A319:B319"/>
    <mergeCell ref="C319:G319"/>
    <mergeCell ref="A313:B313"/>
    <mergeCell ref="C313:G313"/>
    <mergeCell ref="A314:B314"/>
    <mergeCell ref="C314:G314"/>
    <mergeCell ref="A315:W315"/>
    <mergeCell ref="A316:B316"/>
    <mergeCell ref="C316:G316"/>
    <mergeCell ref="A310:B310"/>
    <mergeCell ref="C310:G310"/>
    <mergeCell ref="A311:B311"/>
    <mergeCell ref="C311:G311"/>
    <mergeCell ref="A312:B312"/>
    <mergeCell ref="C312:G312"/>
    <mergeCell ref="A307:B307"/>
    <mergeCell ref="C307:G307"/>
    <mergeCell ref="A308:B308"/>
    <mergeCell ref="C308:G308"/>
    <mergeCell ref="A309:B309"/>
    <mergeCell ref="C309:G309"/>
    <mergeCell ref="A304:B304"/>
    <mergeCell ref="C304:G304"/>
    <mergeCell ref="A305:B305"/>
    <mergeCell ref="C305:G305"/>
    <mergeCell ref="A306:B306"/>
    <mergeCell ref="C306:G306"/>
    <mergeCell ref="A301:B301"/>
    <mergeCell ref="C301:G301"/>
    <mergeCell ref="A302:B302"/>
    <mergeCell ref="C302:G302"/>
    <mergeCell ref="A303:B303"/>
    <mergeCell ref="C303:G303"/>
    <mergeCell ref="A298:B298"/>
    <mergeCell ref="C298:G298"/>
    <mergeCell ref="A299:B299"/>
    <mergeCell ref="C299:G299"/>
    <mergeCell ref="A300:B300"/>
    <mergeCell ref="C300:G300"/>
    <mergeCell ref="A295:B295"/>
    <mergeCell ref="C295:G295"/>
    <mergeCell ref="A296:B296"/>
    <mergeCell ref="C296:G296"/>
    <mergeCell ref="A297:B297"/>
    <mergeCell ref="C297:G297"/>
    <mergeCell ref="A292:B292"/>
    <mergeCell ref="C292:G292"/>
    <mergeCell ref="A293:B293"/>
    <mergeCell ref="C293:G293"/>
    <mergeCell ref="A294:B294"/>
    <mergeCell ref="C294:G294"/>
    <mergeCell ref="A289:B289"/>
    <mergeCell ref="C289:G289"/>
    <mergeCell ref="A290:B290"/>
    <mergeCell ref="C290:G290"/>
    <mergeCell ref="A291:B291"/>
    <mergeCell ref="C291:G291"/>
    <mergeCell ref="A286:B286"/>
    <mergeCell ref="C286:G286"/>
    <mergeCell ref="A287:B287"/>
    <mergeCell ref="C287:G287"/>
    <mergeCell ref="A288:B288"/>
    <mergeCell ref="C288:G288"/>
    <mergeCell ref="A283:B283"/>
    <mergeCell ref="C283:G283"/>
    <mergeCell ref="A284:B284"/>
    <mergeCell ref="C284:G284"/>
    <mergeCell ref="A285:B285"/>
    <mergeCell ref="C285:G285"/>
    <mergeCell ref="A280:B280"/>
    <mergeCell ref="C280:G280"/>
    <mergeCell ref="A281:B281"/>
    <mergeCell ref="C281:G281"/>
    <mergeCell ref="A282:B282"/>
    <mergeCell ref="C282:G282"/>
    <mergeCell ref="A277:B277"/>
    <mergeCell ref="C277:G277"/>
    <mergeCell ref="A278:B278"/>
    <mergeCell ref="C278:G278"/>
    <mergeCell ref="A279:B279"/>
    <mergeCell ref="C279:G279"/>
    <mergeCell ref="A274:B274"/>
    <mergeCell ref="C274:G274"/>
    <mergeCell ref="A275:B275"/>
    <mergeCell ref="C275:G275"/>
    <mergeCell ref="A276:B276"/>
    <mergeCell ref="C276:G276"/>
    <mergeCell ref="A271:B271"/>
    <mergeCell ref="C271:G271"/>
    <mergeCell ref="A272:B272"/>
    <mergeCell ref="C272:G272"/>
    <mergeCell ref="A273:B273"/>
    <mergeCell ref="C273:G273"/>
    <mergeCell ref="A268:B268"/>
    <mergeCell ref="C268:G268"/>
    <mergeCell ref="A269:B269"/>
    <mergeCell ref="C269:G269"/>
    <mergeCell ref="A270:B270"/>
    <mergeCell ref="C270:G270"/>
    <mergeCell ref="A265:B265"/>
    <mergeCell ref="C265:G265"/>
    <mergeCell ref="A266:B266"/>
    <mergeCell ref="C266:G266"/>
    <mergeCell ref="A267:B267"/>
    <mergeCell ref="C267:G267"/>
    <mergeCell ref="A262:B262"/>
    <mergeCell ref="C262:G262"/>
    <mergeCell ref="A263:B263"/>
    <mergeCell ref="C263:G263"/>
    <mergeCell ref="A264:B264"/>
    <mergeCell ref="C264:G264"/>
    <mergeCell ref="A259:B259"/>
    <mergeCell ref="C259:G259"/>
    <mergeCell ref="A260:B260"/>
    <mergeCell ref="C260:G260"/>
    <mergeCell ref="A261:B261"/>
    <mergeCell ref="C261:G261"/>
    <mergeCell ref="A256:B256"/>
    <mergeCell ref="C256:G256"/>
    <mergeCell ref="A257:B257"/>
    <mergeCell ref="C257:G257"/>
    <mergeCell ref="A258:B258"/>
    <mergeCell ref="C258:G258"/>
    <mergeCell ref="A253:B253"/>
    <mergeCell ref="C253:G253"/>
    <mergeCell ref="A254:B254"/>
    <mergeCell ref="C254:G254"/>
    <mergeCell ref="A255:B255"/>
    <mergeCell ref="C255:G255"/>
    <mergeCell ref="A250:B250"/>
    <mergeCell ref="C250:G250"/>
    <mergeCell ref="A251:B251"/>
    <mergeCell ref="C251:G251"/>
    <mergeCell ref="A252:B252"/>
    <mergeCell ref="C252:G252"/>
    <mergeCell ref="A247:B247"/>
    <mergeCell ref="C247:G247"/>
    <mergeCell ref="A248:B248"/>
    <mergeCell ref="C248:G248"/>
    <mergeCell ref="A249:B249"/>
    <mergeCell ref="C249:G249"/>
    <mergeCell ref="A244:B244"/>
    <mergeCell ref="C244:G244"/>
    <mergeCell ref="A245:B245"/>
    <mergeCell ref="C245:G245"/>
    <mergeCell ref="A246:B246"/>
    <mergeCell ref="C246:G246"/>
    <mergeCell ref="A241:B241"/>
    <mergeCell ref="C241:G241"/>
    <mergeCell ref="A242:B242"/>
    <mergeCell ref="C242:G242"/>
    <mergeCell ref="A243:B243"/>
    <mergeCell ref="C243:G243"/>
    <mergeCell ref="A238:B238"/>
    <mergeCell ref="C238:G238"/>
    <mergeCell ref="A239:B239"/>
    <mergeCell ref="C239:G239"/>
    <mergeCell ref="A240:B240"/>
    <mergeCell ref="C240:G240"/>
    <mergeCell ref="A235:B235"/>
    <mergeCell ref="C235:G235"/>
    <mergeCell ref="A236:B236"/>
    <mergeCell ref="C236:G236"/>
    <mergeCell ref="A237:B237"/>
    <mergeCell ref="C237:G237"/>
    <mergeCell ref="A232:B232"/>
    <mergeCell ref="C232:G232"/>
    <mergeCell ref="A233:B233"/>
    <mergeCell ref="C233:G233"/>
    <mergeCell ref="A234:B234"/>
    <mergeCell ref="C234:G234"/>
    <mergeCell ref="A229:B229"/>
    <mergeCell ref="C229:G229"/>
    <mergeCell ref="A230:B230"/>
    <mergeCell ref="C230:G230"/>
    <mergeCell ref="A231:B231"/>
    <mergeCell ref="C231:G231"/>
    <mergeCell ref="A226:B226"/>
    <mergeCell ref="C226:G226"/>
    <mergeCell ref="A227:B227"/>
    <mergeCell ref="C227:G227"/>
    <mergeCell ref="A228:B228"/>
    <mergeCell ref="C228:G228"/>
    <mergeCell ref="A223:B223"/>
    <mergeCell ref="C223:G223"/>
    <mergeCell ref="A224:B224"/>
    <mergeCell ref="C224:G224"/>
    <mergeCell ref="A225:B225"/>
    <mergeCell ref="C225:G225"/>
    <mergeCell ref="A220:B220"/>
    <mergeCell ref="C220:G220"/>
    <mergeCell ref="A221:B221"/>
    <mergeCell ref="C221:G221"/>
    <mergeCell ref="A222:B222"/>
    <mergeCell ref="C222:G222"/>
    <mergeCell ref="A217:B217"/>
    <mergeCell ref="C217:G217"/>
    <mergeCell ref="A218:B218"/>
    <mergeCell ref="C218:G218"/>
    <mergeCell ref="A219:B219"/>
    <mergeCell ref="C219:G219"/>
    <mergeCell ref="A214:B214"/>
    <mergeCell ref="C214:G214"/>
    <mergeCell ref="A215:B215"/>
    <mergeCell ref="C215:G215"/>
    <mergeCell ref="A216:B216"/>
    <mergeCell ref="C216:G216"/>
    <mergeCell ref="A211:B211"/>
    <mergeCell ref="C211:G211"/>
    <mergeCell ref="A212:B212"/>
    <mergeCell ref="C212:G212"/>
    <mergeCell ref="A213:B213"/>
    <mergeCell ref="C213:G213"/>
    <mergeCell ref="A208:B208"/>
    <mergeCell ref="C208:G208"/>
    <mergeCell ref="A209:B209"/>
    <mergeCell ref="C209:G209"/>
    <mergeCell ref="A210:B210"/>
    <mergeCell ref="C210:G210"/>
    <mergeCell ref="A205:B205"/>
    <mergeCell ref="C205:G205"/>
    <mergeCell ref="A206:B206"/>
    <mergeCell ref="C206:G206"/>
    <mergeCell ref="A207:B207"/>
    <mergeCell ref="C207:G207"/>
    <mergeCell ref="A202:B202"/>
    <mergeCell ref="C202:G202"/>
    <mergeCell ref="A203:B203"/>
    <mergeCell ref="C203:G203"/>
    <mergeCell ref="A204:B204"/>
    <mergeCell ref="C204:G204"/>
    <mergeCell ref="A199:B199"/>
    <mergeCell ref="C199:G199"/>
    <mergeCell ref="A200:B200"/>
    <mergeCell ref="C200:G200"/>
    <mergeCell ref="A201:B201"/>
    <mergeCell ref="C201:G201"/>
    <mergeCell ref="A196:B196"/>
    <mergeCell ref="C196:G196"/>
    <mergeCell ref="A197:B197"/>
    <mergeCell ref="C197:G197"/>
    <mergeCell ref="A198:B198"/>
    <mergeCell ref="C198:G198"/>
    <mergeCell ref="A193:B193"/>
    <mergeCell ref="C193:G193"/>
    <mergeCell ref="A194:B194"/>
    <mergeCell ref="C194:G194"/>
    <mergeCell ref="A195:B195"/>
    <mergeCell ref="C195:G195"/>
    <mergeCell ref="A190:B190"/>
    <mergeCell ref="C190:G190"/>
    <mergeCell ref="A191:B191"/>
    <mergeCell ref="C191:G191"/>
    <mergeCell ref="A192:B192"/>
    <mergeCell ref="C192:G192"/>
    <mergeCell ref="A187:B187"/>
    <mergeCell ref="C187:G187"/>
    <mergeCell ref="A188:B188"/>
    <mergeCell ref="C188:G188"/>
    <mergeCell ref="A189:B189"/>
    <mergeCell ref="C189:G189"/>
    <mergeCell ref="A184:B184"/>
    <mergeCell ref="C184:G184"/>
    <mergeCell ref="A185:B185"/>
    <mergeCell ref="C185:G185"/>
    <mergeCell ref="A186:B186"/>
    <mergeCell ref="C186:G186"/>
    <mergeCell ref="A181:B181"/>
    <mergeCell ref="C181:G181"/>
    <mergeCell ref="A182:B182"/>
    <mergeCell ref="C182:G182"/>
    <mergeCell ref="A183:B183"/>
    <mergeCell ref="C183:G183"/>
    <mergeCell ref="A178:B178"/>
    <mergeCell ref="C178:G178"/>
    <mergeCell ref="A179:B179"/>
    <mergeCell ref="C179:G179"/>
    <mergeCell ref="A180:B180"/>
    <mergeCell ref="C180:G180"/>
    <mergeCell ref="A175:B175"/>
    <mergeCell ref="C175:G175"/>
    <mergeCell ref="A176:B176"/>
    <mergeCell ref="C176:G176"/>
    <mergeCell ref="A177:B177"/>
    <mergeCell ref="C177:G177"/>
    <mergeCell ref="A172:B172"/>
    <mergeCell ref="C172:G172"/>
    <mergeCell ref="A173:B173"/>
    <mergeCell ref="C173:G173"/>
    <mergeCell ref="A174:B174"/>
    <mergeCell ref="C174:G174"/>
    <mergeCell ref="A169:B169"/>
    <mergeCell ref="C169:G169"/>
    <mergeCell ref="A170:B170"/>
    <mergeCell ref="C170:G170"/>
    <mergeCell ref="A171:B171"/>
    <mergeCell ref="C171:G171"/>
    <mergeCell ref="A166:B166"/>
    <mergeCell ref="C166:G166"/>
    <mergeCell ref="A167:B167"/>
    <mergeCell ref="C167:G167"/>
    <mergeCell ref="A168:B168"/>
    <mergeCell ref="C168:G168"/>
    <mergeCell ref="A162:B162"/>
    <mergeCell ref="C162:G162"/>
    <mergeCell ref="A163:W163"/>
    <mergeCell ref="A164:B164"/>
    <mergeCell ref="C164:G164"/>
    <mergeCell ref="A165:B165"/>
    <mergeCell ref="C165:G165"/>
    <mergeCell ref="A159:B159"/>
    <mergeCell ref="C159:G159"/>
    <mergeCell ref="A160:B160"/>
    <mergeCell ref="C160:G160"/>
    <mergeCell ref="A161:B161"/>
    <mergeCell ref="C161:G161"/>
    <mergeCell ref="A156:B156"/>
    <mergeCell ref="C156:G156"/>
    <mergeCell ref="A157:B157"/>
    <mergeCell ref="C157:G157"/>
    <mergeCell ref="A158:B158"/>
    <mergeCell ref="C158:G158"/>
    <mergeCell ref="A153:B153"/>
    <mergeCell ref="C153:G153"/>
    <mergeCell ref="A154:B154"/>
    <mergeCell ref="C154:G154"/>
    <mergeCell ref="A155:B155"/>
    <mergeCell ref="C155:G155"/>
    <mergeCell ref="A150:B150"/>
    <mergeCell ref="C150:G150"/>
    <mergeCell ref="A151:B151"/>
    <mergeCell ref="C151:G151"/>
    <mergeCell ref="A152:B152"/>
    <mergeCell ref="C152:G152"/>
    <mergeCell ref="A147:B147"/>
    <mergeCell ref="C147:G147"/>
    <mergeCell ref="A148:B148"/>
    <mergeCell ref="C148:G148"/>
    <mergeCell ref="A149:B149"/>
    <mergeCell ref="C149:G149"/>
    <mergeCell ref="A144:B144"/>
    <mergeCell ref="C144:G144"/>
    <mergeCell ref="A145:B145"/>
    <mergeCell ref="C145:G145"/>
    <mergeCell ref="A146:B146"/>
    <mergeCell ref="C146:G146"/>
    <mergeCell ref="A141:B141"/>
    <mergeCell ref="C141:G141"/>
    <mergeCell ref="A142:B142"/>
    <mergeCell ref="C142:G142"/>
    <mergeCell ref="A143:B143"/>
    <mergeCell ref="C143:G143"/>
    <mergeCell ref="A138:B138"/>
    <mergeCell ref="C138:G138"/>
    <mergeCell ref="A139:B139"/>
    <mergeCell ref="C139:G139"/>
    <mergeCell ref="A140:B140"/>
    <mergeCell ref="C140:G140"/>
    <mergeCell ref="A135:B135"/>
    <mergeCell ref="C135:G135"/>
    <mergeCell ref="A136:B136"/>
    <mergeCell ref="C136:G136"/>
    <mergeCell ref="A137:B137"/>
    <mergeCell ref="C137:G137"/>
    <mergeCell ref="A132:B132"/>
    <mergeCell ref="C132:G132"/>
    <mergeCell ref="A133:B133"/>
    <mergeCell ref="C133:G133"/>
    <mergeCell ref="A134:B134"/>
    <mergeCell ref="C134:G134"/>
    <mergeCell ref="A129:B129"/>
    <mergeCell ref="C129:G129"/>
    <mergeCell ref="A130:B130"/>
    <mergeCell ref="C130:G130"/>
    <mergeCell ref="A131:B131"/>
    <mergeCell ref="C131:G131"/>
    <mergeCell ref="A126:B126"/>
    <mergeCell ref="C126:G126"/>
    <mergeCell ref="A127:B127"/>
    <mergeCell ref="C127:G127"/>
    <mergeCell ref="A128:B128"/>
    <mergeCell ref="C128:G128"/>
    <mergeCell ref="A123:B123"/>
    <mergeCell ref="C123:G123"/>
    <mergeCell ref="A124:B124"/>
    <mergeCell ref="C124:G124"/>
    <mergeCell ref="A125:B125"/>
    <mergeCell ref="C125:G125"/>
    <mergeCell ref="A120:B120"/>
    <mergeCell ref="C120:G120"/>
    <mergeCell ref="A121:B121"/>
    <mergeCell ref="C121:G121"/>
    <mergeCell ref="A122:B122"/>
    <mergeCell ref="C122:G122"/>
    <mergeCell ref="A117:B117"/>
    <mergeCell ref="C117:G117"/>
    <mergeCell ref="A118:B118"/>
    <mergeCell ref="C118:G118"/>
    <mergeCell ref="A119:B119"/>
    <mergeCell ref="C119:G119"/>
    <mergeCell ref="A114:B114"/>
    <mergeCell ref="C114:G114"/>
    <mergeCell ref="A115:B115"/>
    <mergeCell ref="C115:G115"/>
    <mergeCell ref="A116:B116"/>
    <mergeCell ref="C116:G116"/>
    <mergeCell ref="A111:B111"/>
    <mergeCell ref="C111:G111"/>
    <mergeCell ref="A112:B112"/>
    <mergeCell ref="C112:G112"/>
    <mergeCell ref="A113:B113"/>
    <mergeCell ref="C113:G113"/>
    <mergeCell ref="A108:B108"/>
    <mergeCell ref="C108:G108"/>
    <mergeCell ref="A109:B109"/>
    <mergeCell ref="C109:G109"/>
    <mergeCell ref="A110:B110"/>
    <mergeCell ref="C110:G110"/>
    <mergeCell ref="A105:B105"/>
    <mergeCell ref="C105:G105"/>
    <mergeCell ref="A106:B106"/>
    <mergeCell ref="C106:G106"/>
    <mergeCell ref="A107:B107"/>
    <mergeCell ref="C107:G107"/>
    <mergeCell ref="A102:B102"/>
    <mergeCell ref="C102:G102"/>
    <mergeCell ref="A103:B103"/>
    <mergeCell ref="C103:G103"/>
    <mergeCell ref="A104:B104"/>
    <mergeCell ref="C104:G104"/>
    <mergeCell ref="A99:B99"/>
    <mergeCell ref="C99:G99"/>
    <mergeCell ref="A100:B100"/>
    <mergeCell ref="C100:G100"/>
    <mergeCell ref="A101:B101"/>
    <mergeCell ref="C101:G101"/>
    <mergeCell ref="A96:B96"/>
    <mergeCell ref="C96:G96"/>
    <mergeCell ref="A97:B97"/>
    <mergeCell ref="C97:G97"/>
    <mergeCell ref="A98:B98"/>
    <mergeCell ref="C98:G98"/>
    <mergeCell ref="A93:B93"/>
    <mergeCell ref="C93:G93"/>
    <mergeCell ref="A94:B94"/>
    <mergeCell ref="C94:G94"/>
    <mergeCell ref="A95:B95"/>
    <mergeCell ref="C95:G95"/>
    <mergeCell ref="A90:B90"/>
    <mergeCell ref="C90:G90"/>
    <mergeCell ref="A91:B91"/>
    <mergeCell ref="C91:G91"/>
    <mergeCell ref="A92:B92"/>
    <mergeCell ref="C92:G92"/>
    <mergeCell ref="A87:B87"/>
    <mergeCell ref="C87:G87"/>
    <mergeCell ref="A88:B88"/>
    <mergeCell ref="C88:G88"/>
    <mergeCell ref="A89:B89"/>
    <mergeCell ref="C89:G89"/>
    <mergeCell ref="A84:B84"/>
    <mergeCell ref="C84:G84"/>
    <mergeCell ref="A85:B85"/>
    <mergeCell ref="C85:G85"/>
    <mergeCell ref="A86:B86"/>
    <mergeCell ref="C86:G86"/>
    <mergeCell ref="A81:B81"/>
    <mergeCell ref="C81:G81"/>
    <mergeCell ref="A82:B82"/>
    <mergeCell ref="C82:G82"/>
    <mergeCell ref="A83:B83"/>
    <mergeCell ref="C83:G83"/>
    <mergeCell ref="A78:B78"/>
    <mergeCell ref="C78:G78"/>
    <mergeCell ref="A79:B79"/>
    <mergeCell ref="C79:G79"/>
    <mergeCell ref="A80:B80"/>
    <mergeCell ref="C80:G80"/>
    <mergeCell ref="A75:B75"/>
    <mergeCell ref="C75:G75"/>
    <mergeCell ref="A76:B76"/>
    <mergeCell ref="C76:G76"/>
    <mergeCell ref="A77:B77"/>
    <mergeCell ref="C77:G77"/>
    <mergeCell ref="A72:B72"/>
    <mergeCell ref="C72:G72"/>
    <mergeCell ref="A73:B73"/>
    <mergeCell ref="C73:G73"/>
    <mergeCell ref="A74:B74"/>
    <mergeCell ref="C74:G74"/>
    <mergeCell ref="A69:B69"/>
    <mergeCell ref="C69:G69"/>
    <mergeCell ref="A70:B70"/>
    <mergeCell ref="C70:G70"/>
    <mergeCell ref="A71:B71"/>
    <mergeCell ref="C71:G71"/>
    <mergeCell ref="A66:B66"/>
    <mergeCell ref="C66:G66"/>
    <mergeCell ref="A67:B67"/>
    <mergeCell ref="C67:G67"/>
    <mergeCell ref="A68:B68"/>
    <mergeCell ref="C68:G68"/>
    <mergeCell ref="A63:B63"/>
    <mergeCell ref="C63:G63"/>
    <mergeCell ref="A64:B64"/>
    <mergeCell ref="C64:G64"/>
    <mergeCell ref="A65:B65"/>
    <mergeCell ref="C65:G65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54:B54"/>
    <mergeCell ref="C54:G54"/>
    <mergeCell ref="A55:B55"/>
    <mergeCell ref="C55:G55"/>
    <mergeCell ref="A56:B56"/>
    <mergeCell ref="C56:G56"/>
    <mergeCell ref="A51:B51"/>
    <mergeCell ref="C51:G51"/>
    <mergeCell ref="A52:B52"/>
    <mergeCell ref="C52:G52"/>
    <mergeCell ref="A53:B53"/>
    <mergeCell ref="C53:G53"/>
    <mergeCell ref="A48:B48"/>
    <mergeCell ref="C48:G48"/>
    <mergeCell ref="A49:B49"/>
    <mergeCell ref="C49:G49"/>
    <mergeCell ref="A50:B50"/>
    <mergeCell ref="C50:G50"/>
    <mergeCell ref="A45:B45"/>
    <mergeCell ref="C45:G45"/>
    <mergeCell ref="A46:B46"/>
    <mergeCell ref="C46:G46"/>
    <mergeCell ref="A47:B47"/>
    <mergeCell ref="C47:G47"/>
    <mergeCell ref="A42:B42"/>
    <mergeCell ref="C42:G42"/>
    <mergeCell ref="A43:B43"/>
    <mergeCell ref="C43:G43"/>
    <mergeCell ref="A44:B44"/>
    <mergeCell ref="C44:G44"/>
    <mergeCell ref="A39:B39"/>
    <mergeCell ref="C39:G39"/>
    <mergeCell ref="A40:B40"/>
    <mergeCell ref="C40:G40"/>
    <mergeCell ref="A41:B41"/>
    <mergeCell ref="C41:G41"/>
    <mergeCell ref="A36:B36"/>
    <mergeCell ref="C36:G36"/>
    <mergeCell ref="A37:B37"/>
    <mergeCell ref="C37:G37"/>
    <mergeCell ref="A38:B38"/>
    <mergeCell ref="C38:G38"/>
    <mergeCell ref="A33:B33"/>
    <mergeCell ref="C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A25:B25"/>
    <mergeCell ref="C25:G25"/>
    <mergeCell ref="A26:B26"/>
    <mergeCell ref="C26:G26"/>
    <mergeCell ref="A23:B23"/>
    <mergeCell ref="C23:G23"/>
    <mergeCell ref="V16:W16"/>
    <mergeCell ref="A18:B18"/>
    <mergeCell ref="C18:G18"/>
    <mergeCell ref="A19:W19"/>
    <mergeCell ref="A20:B20"/>
    <mergeCell ref="C20:G20"/>
    <mergeCell ref="A16:B17"/>
    <mergeCell ref="C16:G17"/>
    <mergeCell ref="H16:H17"/>
    <mergeCell ref="L16:M16"/>
    <mergeCell ref="N16:O16"/>
    <mergeCell ref="R16:S16"/>
    <mergeCell ref="T16:U16"/>
    <mergeCell ref="P16:Q16"/>
    <mergeCell ref="M9:N9"/>
    <mergeCell ref="B13:I13"/>
    <mergeCell ref="L13:P13"/>
    <mergeCell ref="A15:W15"/>
    <mergeCell ref="A21:B21"/>
    <mergeCell ref="C21:G21"/>
    <mergeCell ref="A22:B22"/>
    <mergeCell ref="C22:G22"/>
    <mergeCell ref="A24:B24"/>
    <mergeCell ref="C24:G24"/>
  </mergeCells>
  <pageMargins left="0.39370078740157483" right="0.31496062992125984" top="0.39370078740157483" bottom="0.31496062992125984" header="0.19685039370078741" footer="0.19685039370078741"/>
  <pageSetup paperSize="9" scale="7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42"/>
  <sheetViews>
    <sheetView workbookViewId="0">
      <selection activeCell="D11" sqref="D11"/>
    </sheetView>
  </sheetViews>
  <sheetFormatPr defaultColWidth="8.85546875" defaultRowHeight="15" x14ac:dyDescent="0.25"/>
  <sheetData>
    <row r="4" spans="4:4" x14ac:dyDescent="0.25">
      <c r="D4" t="s">
        <v>482</v>
      </c>
    </row>
    <row r="5" spans="4:4" x14ac:dyDescent="0.25">
      <c r="D5" t="s">
        <v>451</v>
      </c>
    </row>
    <row r="6" spans="4:4" x14ac:dyDescent="0.25">
      <c r="D6" t="s">
        <v>410</v>
      </c>
    </row>
    <row r="7" spans="4:4" x14ac:dyDescent="0.25">
      <c r="D7" t="s">
        <v>483</v>
      </c>
    </row>
    <row r="8" spans="4:4" x14ac:dyDescent="0.25">
      <c r="D8" t="s">
        <v>484</v>
      </c>
    </row>
    <row r="9" spans="4:4" x14ac:dyDescent="0.25">
      <c r="D9" t="s">
        <v>485</v>
      </c>
    </row>
    <row r="10" spans="4:4" x14ac:dyDescent="0.25">
      <c r="D10" t="s">
        <v>1377</v>
      </c>
    </row>
    <row r="16" spans="4:4" x14ac:dyDescent="0.25">
      <c r="D16" t="s">
        <v>487</v>
      </c>
    </row>
    <row r="18" spans="4:4" x14ac:dyDescent="0.25">
      <c r="D18" t="s">
        <v>488</v>
      </c>
    </row>
    <row r="19" spans="4:4" x14ac:dyDescent="0.25">
      <c r="D19" t="s">
        <v>489</v>
      </c>
    </row>
    <row r="20" spans="4:4" x14ac:dyDescent="0.25">
      <c r="D20" t="s">
        <v>490</v>
      </c>
    </row>
    <row r="21" spans="4:4" x14ac:dyDescent="0.25">
      <c r="D21" t="s">
        <v>461</v>
      </c>
    </row>
    <row r="22" spans="4:4" x14ac:dyDescent="0.25">
      <c r="D22" t="s">
        <v>458</v>
      </c>
    </row>
    <row r="23" spans="4:4" x14ac:dyDescent="0.25">
      <c r="D23" t="s">
        <v>491</v>
      </c>
    </row>
    <row r="24" spans="4:4" x14ac:dyDescent="0.25">
      <c r="D24" t="s">
        <v>492</v>
      </c>
    </row>
    <row r="25" spans="4:4" x14ac:dyDescent="0.25">
      <c r="D25" t="s">
        <v>493</v>
      </c>
    </row>
    <row r="26" spans="4:4" x14ac:dyDescent="0.25">
      <c r="D26" t="s">
        <v>494</v>
      </c>
    </row>
    <row r="28" spans="4:4" x14ac:dyDescent="0.25">
      <c r="D28" t="s">
        <v>495</v>
      </c>
    </row>
    <row r="29" spans="4:4" x14ac:dyDescent="0.25">
      <c r="D29" t="s">
        <v>459</v>
      </c>
    </row>
    <row r="30" spans="4:4" x14ac:dyDescent="0.25">
      <c r="D30" t="s">
        <v>496</v>
      </c>
    </row>
    <row r="31" spans="4:4" x14ac:dyDescent="0.25">
      <c r="D31" t="s">
        <v>460</v>
      </c>
    </row>
    <row r="32" spans="4:4" x14ac:dyDescent="0.25">
      <c r="D32" t="s">
        <v>497</v>
      </c>
    </row>
    <row r="33" spans="4:4" x14ac:dyDescent="0.25">
      <c r="D33" t="s">
        <v>498</v>
      </c>
    </row>
    <row r="35" spans="4:4" x14ac:dyDescent="0.25">
      <c r="D35" t="s">
        <v>499</v>
      </c>
    </row>
    <row r="36" spans="4:4" x14ac:dyDescent="0.25">
      <c r="D36" t="s">
        <v>500</v>
      </c>
    </row>
    <row r="37" spans="4:4" x14ac:dyDescent="0.25">
      <c r="D37" t="s">
        <v>501</v>
      </c>
    </row>
    <row r="38" spans="4:4" x14ac:dyDescent="0.25">
      <c r="D38" t="s">
        <v>502</v>
      </c>
    </row>
    <row r="40" spans="4:4" x14ac:dyDescent="0.25">
      <c r="D40" t="s">
        <v>503</v>
      </c>
    </row>
    <row r="41" spans="4:4" x14ac:dyDescent="0.25">
      <c r="D41" t="s">
        <v>504</v>
      </c>
    </row>
    <row r="42" spans="4:4" x14ac:dyDescent="0.25">
      <c r="D42" t="s">
        <v>505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J15"/>
  <sheetViews>
    <sheetView workbookViewId="0">
      <selection activeCell="V32" sqref="V32"/>
    </sheetView>
  </sheetViews>
  <sheetFormatPr defaultRowHeight="15" x14ac:dyDescent="0.25"/>
  <sheetData>
    <row r="4" spans="9:10" x14ac:dyDescent="0.25">
      <c r="I4">
        <v>2010</v>
      </c>
      <c r="J4" t="s">
        <v>625</v>
      </c>
    </row>
    <row r="5" spans="9:10" x14ac:dyDescent="0.25">
      <c r="I5">
        <v>2011</v>
      </c>
      <c r="J5" t="s">
        <v>626</v>
      </c>
    </row>
    <row r="6" spans="9:10" x14ac:dyDescent="0.25">
      <c r="I6">
        <v>2012</v>
      </c>
      <c r="J6" t="s">
        <v>627</v>
      </c>
    </row>
    <row r="7" spans="9:10" x14ac:dyDescent="0.25">
      <c r="I7">
        <v>2013</v>
      </c>
      <c r="J7" t="s">
        <v>628</v>
      </c>
    </row>
    <row r="8" spans="9:10" x14ac:dyDescent="0.25">
      <c r="I8">
        <v>2014</v>
      </c>
      <c r="J8" t="s">
        <v>629</v>
      </c>
    </row>
    <row r="9" spans="9:10" x14ac:dyDescent="0.25">
      <c r="I9">
        <v>2015</v>
      </c>
      <c r="J9" t="s">
        <v>630</v>
      </c>
    </row>
    <row r="10" spans="9:10" x14ac:dyDescent="0.25">
      <c r="I10">
        <v>2016</v>
      </c>
      <c r="J10" t="s">
        <v>631</v>
      </c>
    </row>
    <row r="11" spans="9:10" x14ac:dyDescent="0.25">
      <c r="I11">
        <v>2017</v>
      </c>
      <c r="J11" t="s">
        <v>632</v>
      </c>
    </row>
    <row r="12" spans="9:10" x14ac:dyDescent="0.25">
      <c r="I12">
        <v>2018</v>
      </c>
      <c r="J12" t="s">
        <v>462</v>
      </c>
    </row>
    <row r="13" spans="9:10" x14ac:dyDescent="0.25">
      <c r="I13">
        <v>2019</v>
      </c>
      <c r="J13" t="s">
        <v>633</v>
      </c>
    </row>
    <row r="14" spans="9:10" x14ac:dyDescent="0.25">
      <c r="I14">
        <v>2020</v>
      </c>
      <c r="J14" t="s">
        <v>634</v>
      </c>
    </row>
    <row r="15" spans="9:10" x14ac:dyDescent="0.25">
      <c r="I15">
        <v>2021</v>
      </c>
      <c r="J15" t="s">
        <v>635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W38"/>
  <sheetViews>
    <sheetView topLeftCell="A13" zoomScale="75" zoomScaleNormal="75" workbookViewId="0">
      <selection activeCell="B31" sqref="B31:C31"/>
    </sheetView>
  </sheetViews>
  <sheetFormatPr defaultColWidth="8.85546875" defaultRowHeight="15.75" outlineLevelRow="1" x14ac:dyDescent="0.25"/>
  <cols>
    <col min="1" max="1" width="10" style="14" customWidth="1"/>
    <col min="2" max="2" width="85.7109375" customWidth="1"/>
    <col min="3" max="3" width="12.5703125" customWidth="1"/>
    <col min="4" max="14" width="9.28515625" customWidth="1"/>
    <col min="15" max="15" width="13" customWidth="1"/>
    <col min="16" max="16" width="8.140625" style="344" customWidth="1"/>
    <col min="17" max="17" width="10.7109375" style="344" customWidth="1"/>
    <col min="18" max="18" width="8.140625" style="344" customWidth="1"/>
    <col min="19" max="19" width="11.5703125" style="344" customWidth="1"/>
    <col min="20" max="23" width="9.28515625" customWidth="1"/>
  </cols>
  <sheetData>
    <row r="1" spans="1:23" ht="18.75" x14ac:dyDescent="0.25">
      <c r="A1" s="603" t="s">
        <v>0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</row>
    <row r="2" spans="1:23" ht="18.75" x14ac:dyDescent="0.3">
      <c r="A2" s="604" t="s">
        <v>657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</row>
    <row r="3" spans="1:23" ht="18.75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34"/>
      <c r="Q3" s="334"/>
      <c r="R3" s="339"/>
      <c r="S3" s="339"/>
      <c r="T3" s="1"/>
      <c r="U3" s="1"/>
      <c r="V3" s="1"/>
      <c r="W3" s="1"/>
    </row>
    <row r="4" spans="1:23" ht="18.75" x14ac:dyDescent="0.25">
      <c r="A4" s="599" t="s">
        <v>1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</row>
    <row r="5" spans="1:23" x14ac:dyDescent="0.25">
      <c r="A5" s="605" t="s">
        <v>2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</row>
    <row r="6" spans="1:23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40"/>
      <c r="Q6" s="340"/>
      <c r="R6" s="341"/>
      <c r="S6" s="341"/>
      <c r="T6" s="1"/>
      <c r="U6" s="1"/>
      <c r="V6" s="1"/>
      <c r="W6" s="1"/>
    </row>
    <row r="7" spans="1:23" ht="18.75" x14ac:dyDescent="0.25">
      <c r="A7" s="599" t="s">
        <v>1328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</row>
    <row r="8" spans="1:23" ht="18.75" x14ac:dyDescent="0.25">
      <c r="A8" s="207"/>
      <c r="B8" s="208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354"/>
      <c r="Q8" s="354"/>
      <c r="R8" s="354"/>
      <c r="S8" s="354"/>
      <c r="T8" s="355"/>
      <c r="U8" s="208"/>
      <c r="V8" s="208"/>
      <c r="W8" s="208"/>
    </row>
    <row r="9" spans="1:23" ht="23.25" customHeight="1" x14ac:dyDescent="0.3">
      <c r="A9" s="92"/>
      <c r="B9" s="599" t="s">
        <v>1346</v>
      </c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92"/>
      <c r="W9" s="92"/>
    </row>
    <row r="10" spans="1:23" ht="15.75" customHeight="1" x14ac:dyDescent="0.25">
      <c r="A10" s="600" t="s">
        <v>174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</row>
    <row r="11" spans="1:23" ht="15.75" customHeight="1" x14ac:dyDescent="0.3">
      <c r="A11" s="601"/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</row>
    <row r="12" spans="1:23" ht="31.5" customHeight="1" x14ac:dyDescent="0.25">
      <c r="A12" s="602" t="s">
        <v>3</v>
      </c>
      <c r="B12" s="602" t="s">
        <v>4</v>
      </c>
      <c r="C12" s="602" t="s">
        <v>5</v>
      </c>
      <c r="D12" s="602" t="s">
        <v>6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</row>
    <row r="13" spans="1:23" ht="87" customHeight="1" x14ac:dyDescent="0.25">
      <c r="A13" s="602"/>
      <c r="B13" s="602"/>
      <c r="C13" s="602"/>
      <c r="D13" s="602" t="s">
        <v>7</v>
      </c>
      <c r="E13" s="602"/>
      <c r="F13" s="602"/>
      <c r="G13" s="602"/>
      <c r="H13" s="602"/>
      <c r="I13" s="602"/>
      <c r="J13" s="602" t="s">
        <v>8</v>
      </c>
      <c r="K13" s="602"/>
      <c r="L13" s="602"/>
      <c r="M13" s="602"/>
      <c r="N13" s="602"/>
      <c r="O13" s="602"/>
      <c r="P13" s="606" t="s">
        <v>1319</v>
      </c>
      <c r="Q13" s="606"/>
      <c r="R13" s="606"/>
      <c r="S13" s="606"/>
      <c r="T13" s="602" t="s">
        <v>9</v>
      </c>
      <c r="U13" s="602"/>
      <c r="V13" s="602"/>
      <c r="W13" s="602"/>
    </row>
    <row r="14" spans="1:23" ht="179.25" customHeight="1" x14ac:dyDescent="0.25">
      <c r="A14" s="602"/>
      <c r="B14" s="602"/>
      <c r="C14" s="602"/>
      <c r="D14" s="602" t="s">
        <v>10</v>
      </c>
      <c r="E14" s="602"/>
      <c r="F14" s="602" t="s">
        <v>11</v>
      </c>
      <c r="G14" s="602"/>
      <c r="H14" s="602" t="s">
        <v>12</v>
      </c>
      <c r="I14" s="602"/>
      <c r="J14" s="602" t="s">
        <v>13</v>
      </c>
      <c r="K14" s="602"/>
      <c r="L14" s="602" t="s">
        <v>14</v>
      </c>
      <c r="M14" s="602"/>
      <c r="N14" s="602" t="s">
        <v>15</v>
      </c>
      <c r="O14" s="602"/>
      <c r="P14" s="607" t="s">
        <v>1320</v>
      </c>
      <c r="Q14" s="607"/>
      <c r="R14" s="606" t="s">
        <v>1321</v>
      </c>
      <c r="S14" s="606"/>
      <c r="T14" s="602" t="s">
        <v>16</v>
      </c>
      <c r="U14" s="602"/>
      <c r="V14" s="602" t="s">
        <v>17</v>
      </c>
      <c r="W14" s="602"/>
    </row>
    <row r="15" spans="1:23" ht="131.25" x14ac:dyDescent="0.25">
      <c r="A15" s="602"/>
      <c r="B15" s="602"/>
      <c r="C15" s="602"/>
      <c r="D15" s="5" t="s">
        <v>464</v>
      </c>
      <c r="E15" s="5" t="s">
        <v>87</v>
      </c>
      <c r="F15" s="5" t="s">
        <v>464</v>
      </c>
      <c r="G15" s="5" t="s">
        <v>87</v>
      </c>
      <c r="H15" s="5" t="s">
        <v>464</v>
      </c>
      <c r="I15" s="5" t="s">
        <v>87</v>
      </c>
      <c r="J15" s="5" t="s">
        <v>464</v>
      </c>
      <c r="K15" s="5" t="s">
        <v>87</v>
      </c>
      <c r="L15" s="5" t="s">
        <v>464</v>
      </c>
      <c r="M15" s="5" t="s">
        <v>87</v>
      </c>
      <c r="N15" s="5" t="s">
        <v>464</v>
      </c>
      <c r="O15" s="5" t="s">
        <v>87</v>
      </c>
      <c r="P15" s="345" t="s">
        <v>1322</v>
      </c>
      <c r="Q15" s="345" t="s">
        <v>1323</v>
      </c>
      <c r="R15" s="346" t="s">
        <v>1322</v>
      </c>
      <c r="S15" s="346" t="s">
        <v>1323</v>
      </c>
      <c r="T15" s="5" t="s">
        <v>464</v>
      </c>
      <c r="U15" s="5" t="s">
        <v>87</v>
      </c>
      <c r="V15" s="5" t="s">
        <v>464</v>
      </c>
      <c r="W15" s="5" t="s">
        <v>87</v>
      </c>
    </row>
    <row r="16" spans="1:23" x14ac:dyDescent="0.25">
      <c r="A16" s="6">
        <v>1</v>
      </c>
      <c r="B16" s="7">
        <v>2</v>
      </c>
      <c r="C16" s="6">
        <v>3</v>
      </c>
      <c r="D16" s="8" t="s">
        <v>18</v>
      </c>
      <c r="E16" s="8" t="s">
        <v>19</v>
      </c>
      <c r="F16" s="8" t="s">
        <v>20</v>
      </c>
      <c r="G16" s="8" t="s">
        <v>21</v>
      </c>
      <c r="H16" s="8" t="s">
        <v>1344</v>
      </c>
      <c r="I16" s="8" t="s">
        <v>1345</v>
      </c>
      <c r="J16" s="8" t="s">
        <v>23</v>
      </c>
      <c r="K16" s="8" t="s">
        <v>24</v>
      </c>
      <c r="L16" s="8" t="s">
        <v>25</v>
      </c>
      <c r="M16" s="8" t="s">
        <v>26</v>
      </c>
      <c r="N16" s="8" t="s">
        <v>150</v>
      </c>
      <c r="O16" s="8" t="s">
        <v>151</v>
      </c>
      <c r="P16" s="342" t="s">
        <v>856</v>
      </c>
      <c r="Q16" s="342" t="s">
        <v>858</v>
      </c>
      <c r="R16" s="343" t="s">
        <v>860</v>
      </c>
      <c r="S16" s="343" t="s">
        <v>862</v>
      </c>
      <c r="T16" s="8" t="s">
        <v>27</v>
      </c>
      <c r="U16" s="8" t="s">
        <v>28</v>
      </c>
      <c r="V16" s="8" t="s">
        <v>29</v>
      </c>
      <c r="W16" s="8" t="s">
        <v>30</v>
      </c>
    </row>
    <row r="17" spans="1:23" s="21" customFormat="1" x14ac:dyDescent="0.25">
      <c r="A17" s="18" t="s">
        <v>31</v>
      </c>
      <c r="B17" s="19" t="s">
        <v>32</v>
      </c>
      <c r="C17" s="26" t="str">
        <f>C18</f>
        <v>нд</v>
      </c>
      <c r="D17" s="26" t="str">
        <f t="shared" ref="D17:W17" si="0">D18</f>
        <v>нд</v>
      </c>
      <c r="E17" s="26" t="str">
        <f t="shared" si="0"/>
        <v>нд</v>
      </c>
      <c r="F17" s="26" t="str">
        <f t="shared" si="0"/>
        <v>нд</v>
      </c>
      <c r="G17" s="26" t="str">
        <f t="shared" si="0"/>
        <v>нд</v>
      </c>
      <c r="H17" s="26" t="str">
        <f t="shared" si="0"/>
        <v>нд</v>
      </c>
      <c r="I17" s="26" t="str">
        <f t="shared" si="0"/>
        <v>нд</v>
      </c>
      <c r="J17" s="26" t="str">
        <f t="shared" si="0"/>
        <v>нд</v>
      </c>
      <c r="K17" s="198" t="str">
        <f t="shared" si="0"/>
        <v>нд</v>
      </c>
      <c r="L17" s="26" t="str">
        <f t="shared" si="0"/>
        <v>нд</v>
      </c>
      <c r="M17" s="198" t="str">
        <f t="shared" si="0"/>
        <v>нд</v>
      </c>
      <c r="N17" s="26">
        <f t="shared" si="0"/>
        <v>1.5669999999999999</v>
      </c>
      <c r="O17" s="26">
        <f t="shared" si="0"/>
        <v>3.24715</v>
      </c>
      <c r="P17" s="350">
        <f>P18</f>
        <v>171</v>
      </c>
      <c r="Q17" s="350">
        <f>Q18</f>
        <v>1</v>
      </c>
      <c r="R17" s="26" t="s">
        <v>33</v>
      </c>
      <c r="S17" s="26" t="s">
        <v>33</v>
      </c>
      <c r="T17" s="198">
        <f t="shared" si="0"/>
        <v>1</v>
      </c>
      <c r="U17" s="198">
        <f t="shared" si="0"/>
        <v>2</v>
      </c>
      <c r="V17" s="26" t="str">
        <f t="shared" si="0"/>
        <v>нд</v>
      </c>
      <c r="W17" s="26" t="str">
        <f t="shared" si="0"/>
        <v>нд</v>
      </c>
    </row>
    <row r="18" spans="1:23" s="20" customFormat="1" x14ac:dyDescent="0.25">
      <c r="A18" s="16" t="s">
        <v>55</v>
      </c>
      <c r="B18" s="17" t="s">
        <v>34</v>
      </c>
      <c r="C18" s="27" t="str">
        <f>C19</f>
        <v>нд</v>
      </c>
      <c r="D18" s="27" t="str">
        <f t="shared" ref="D18:W18" si="1">D19</f>
        <v>нд</v>
      </c>
      <c r="E18" s="27" t="str">
        <f t="shared" si="1"/>
        <v>нд</v>
      </c>
      <c r="F18" s="27" t="str">
        <f t="shared" si="1"/>
        <v>нд</v>
      </c>
      <c r="G18" s="27" t="str">
        <f t="shared" si="1"/>
        <v>нд</v>
      </c>
      <c r="H18" s="27" t="str">
        <f t="shared" si="1"/>
        <v>нд</v>
      </c>
      <c r="I18" s="27" t="str">
        <f t="shared" si="1"/>
        <v>нд</v>
      </c>
      <c r="J18" s="27" t="str">
        <f t="shared" si="1"/>
        <v>нд</v>
      </c>
      <c r="K18" s="27" t="str">
        <f t="shared" si="1"/>
        <v>нд</v>
      </c>
      <c r="L18" s="27" t="str">
        <f t="shared" si="1"/>
        <v>нд</v>
      </c>
      <c r="M18" s="27" t="str">
        <f t="shared" si="1"/>
        <v>нд</v>
      </c>
      <c r="N18" s="27">
        <f t="shared" si="1"/>
        <v>1.5669999999999999</v>
      </c>
      <c r="O18" s="27">
        <f t="shared" si="1"/>
        <v>3.24715</v>
      </c>
      <c r="P18" s="351">
        <f>P19</f>
        <v>171</v>
      </c>
      <c r="Q18" s="351">
        <f>Q19</f>
        <v>1</v>
      </c>
      <c r="R18" s="27" t="s">
        <v>33</v>
      </c>
      <c r="S18" s="27" t="s">
        <v>33</v>
      </c>
      <c r="T18" s="392">
        <f>T32</f>
        <v>1</v>
      </c>
      <c r="U18" s="392">
        <f>U32</f>
        <v>2</v>
      </c>
      <c r="V18" s="27" t="str">
        <f t="shared" si="1"/>
        <v>нд</v>
      </c>
      <c r="W18" s="27" t="str">
        <f t="shared" si="1"/>
        <v>нд</v>
      </c>
    </row>
    <row r="19" spans="1:23" s="21" customFormat="1" ht="31.5" x14ac:dyDescent="0.25">
      <c r="A19" s="18" t="s">
        <v>36</v>
      </c>
      <c r="B19" s="19" t="s">
        <v>37</v>
      </c>
      <c r="C19" s="26" t="s">
        <v>33</v>
      </c>
      <c r="D19" s="26" t="str">
        <f t="shared" ref="D19:M19" si="2">D23</f>
        <v>нд</v>
      </c>
      <c r="E19" s="26" t="str">
        <f t="shared" si="2"/>
        <v>нд</v>
      </c>
      <c r="F19" s="26" t="str">
        <f t="shared" si="2"/>
        <v>нд</v>
      </c>
      <c r="G19" s="26" t="str">
        <f t="shared" si="2"/>
        <v>нд</v>
      </c>
      <c r="H19" s="26" t="str">
        <f t="shared" si="2"/>
        <v>нд</v>
      </c>
      <c r="I19" s="26" t="str">
        <f t="shared" si="2"/>
        <v>нд</v>
      </c>
      <c r="J19" s="26" t="str">
        <f t="shared" si="2"/>
        <v>нд</v>
      </c>
      <c r="K19" s="26" t="str">
        <f t="shared" si="2"/>
        <v>нд</v>
      </c>
      <c r="L19" s="26" t="str">
        <f t="shared" si="2"/>
        <v>нд</v>
      </c>
      <c r="M19" s="26" t="str">
        <f t="shared" si="2"/>
        <v>нд</v>
      </c>
      <c r="N19" s="26">
        <f>N23</f>
        <v>1.5669999999999999</v>
      </c>
      <c r="O19" s="26">
        <f t="shared" ref="O19:W19" si="3">O23</f>
        <v>3.24715</v>
      </c>
      <c r="P19" s="350">
        <f>P28</f>
        <v>171</v>
      </c>
      <c r="Q19" s="350">
        <f>Q28</f>
        <v>1</v>
      </c>
      <c r="R19" s="26" t="s">
        <v>33</v>
      </c>
      <c r="S19" s="26" t="s">
        <v>33</v>
      </c>
      <c r="T19" s="26" t="str">
        <f t="shared" si="3"/>
        <v>нд</v>
      </c>
      <c r="U19" s="26" t="str">
        <f t="shared" si="3"/>
        <v>нд</v>
      </c>
      <c r="V19" s="26" t="str">
        <f t="shared" si="3"/>
        <v>нд</v>
      </c>
      <c r="W19" s="26" t="str">
        <f t="shared" si="3"/>
        <v>нд</v>
      </c>
    </row>
    <row r="20" spans="1:23" s="25" customFormat="1" ht="47.25" x14ac:dyDescent="0.25">
      <c r="A20" s="23" t="s">
        <v>53</v>
      </c>
      <c r="B20" s="24" t="s">
        <v>54</v>
      </c>
      <c r="C20" s="28" t="str">
        <f>C21</f>
        <v>нд</v>
      </c>
      <c r="D20" s="28" t="str">
        <f t="shared" ref="D20:W20" si="4">D21</f>
        <v>нд</v>
      </c>
      <c r="E20" s="28" t="str">
        <f t="shared" si="4"/>
        <v>нд</v>
      </c>
      <c r="F20" s="28" t="str">
        <f t="shared" si="4"/>
        <v>нд</v>
      </c>
      <c r="G20" s="28" t="str">
        <f t="shared" si="4"/>
        <v>нд</v>
      </c>
      <c r="H20" s="28" t="str">
        <f t="shared" si="4"/>
        <v>нд</v>
      </c>
      <c r="I20" s="28" t="str">
        <f t="shared" si="4"/>
        <v>нд</v>
      </c>
      <c r="J20" s="28" t="str">
        <f t="shared" si="4"/>
        <v>нд</v>
      </c>
      <c r="K20" s="28" t="str">
        <f t="shared" si="4"/>
        <v>нд</v>
      </c>
      <c r="L20" s="28" t="str">
        <f t="shared" si="4"/>
        <v>нд</v>
      </c>
      <c r="M20" s="197" t="str">
        <f t="shared" si="4"/>
        <v>нд</v>
      </c>
      <c r="N20" s="28" t="str">
        <f t="shared" si="4"/>
        <v>нд</v>
      </c>
      <c r="O20" s="28" t="str">
        <f t="shared" si="4"/>
        <v>нд</v>
      </c>
      <c r="P20" s="28" t="s">
        <v>33</v>
      </c>
      <c r="Q20" s="28" t="s">
        <v>33</v>
      </c>
      <c r="R20" s="28" t="s">
        <v>33</v>
      </c>
      <c r="S20" s="28" t="s">
        <v>33</v>
      </c>
      <c r="T20" s="28" t="str">
        <f t="shared" si="4"/>
        <v>нд</v>
      </c>
      <c r="U20" s="28" t="str">
        <f t="shared" si="4"/>
        <v>нд</v>
      </c>
      <c r="V20" s="28" t="str">
        <f t="shared" si="4"/>
        <v>нд</v>
      </c>
      <c r="W20" s="28" t="str">
        <f t="shared" si="4"/>
        <v>нд</v>
      </c>
    </row>
    <row r="21" spans="1:23" ht="22.5" customHeight="1" x14ac:dyDescent="0.25">
      <c r="A21" s="13" t="s">
        <v>38</v>
      </c>
      <c r="B21" s="15" t="s">
        <v>39</v>
      </c>
      <c r="C21" s="29" t="s">
        <v>33</v>
      </c>
      <c r="D21" s="29" t="s">
        <v>33</v>
      </c>
      <c r="E21" s="29" t="s">
        <v>33</v>
      </c>
      <c r="F21" s="29" t="s">
        <v>33</v>
      </c>
      <c r="G21" s="29" t="s">
        <v>33</v>
      </c>
      <c r="H21" s="29" t="s">
        <v>33</v>
      </c>
      <c r="I21" s="29" t="s">
        <v>33</v>
      </c>
      <c r="J21" s="29" t="s">
        <v>33</v>
      </c>
      <c r="K21" s="29" t="s">
        <v>33</v>
      </c>
      <c r="L21" s="29" t="s">
        <v>33</v>
      </c>
      <c r="M21" s="29" t="s">
        <v>33</v>
      </c>
      <c r="N21" s="29" t="s">
        <v>33</v>
      </c>
      <c r="O21" s="29" t="s">
        <v>33</v>
      </c>
      <c r="P21" s="29" t="s">
        <v>33</v>
      </c>
      <c r="Q21" s="29" t="s">
        <v>33</v>
      </c>
      <c r="R21" s="29" t="s">
        <v>33</v>
      </c>
      <c r="S21" s="29" t="s">
        <v>33</v>
      </c>
      <c r="T21" s="29" t="s">
        <v>33</v>
      </c>
      <c r="U21" s="29" t="s">
        <v>33</v>
      </c>
      <c r="V21" s="29" t="s">
        <v>33</v>
      </c>
      <c r="W21" s="29" t="s">
        <v>33</v>
      </c>
    </row>
    <row r="22" spans="1:23" ht="31.5" x14ac:dyDescent="0.25">
      <c r="A22" s="13" t="s">
        <v>64</v>
      </c>
      <c r="B22" s="15" t="s">
        <v>65</v>
      </c>
      <c r="C22" s="29" t="s">
        <v>33</v>
      </c>
      <c r="D22" s="29" t="s">
        <v>33</v>
      </c>
      <c r="E22" s="29" t="s">
        <v>33</v>
      </c>
      <c r="F22" s="29" t="s">
        <v>33</v>
      </c>
      <c r="G22" s="29" t="s">
        <v>33</v>
      </c>
      <c r="H22" s="29" t="s">
        <v>33</v>
      </c>
      <c r="I22" s="29" t="s">
        <v>33</v>
      </c>
      <c r="J22" s="29" t="s">
        <v>33</v>
      </c>
      <c r="K22" s="29" t="s">
        <v>33</v>
      </c>
      <c r="L22" s="29" t="s">
        <v>33</v>
      </c>
      <c r="M22" s="29" t="s">
        <v>33</v>
      </c>
      <c r="N22" s="29" t="s">
        <v>33</v>
      </c>
      <c r="O22" s="29" t="s">
        <v>33</v>
      </c>
      <c r="P22" s="29" t="s">
        <v>33</v>
      </c>
      <c r="Q22" s="29" t="s">
        <v>33</v>
      </c>
      <c r="R22" s="29" t="s">
        <v>33</v>
      </c>
      <c r="S22" s="29" t="s">
        <v>33</v>
      </c>
      <c r="T22" s="29" t="s">
        <v>33</v>
      </c>
      <c r="U22" s="29" t="s">
        <v>33</v>
      </c>
      <c r="V22" s="29" t="s">
        <v>33</v>
      </c>
      <c r="W22" s="29" t="s">
        <v>33</v>
      </c>
    </row>
    <row r="23" spans="1:23" s="25" customFormat="1" ht="31.5" x14ac:dyDescent="0.25">
      <c r="A23" s="23" t="s">
        <v>41</v>
      </c>
      <c r="B23" s="24" t="s">
        <v>42</v>
      </c>
      <c r="C23" s="28" t="str">
        <f>C24</f>
        <v>нд</v>
      </c>
      <c r="D23" s="28" t="str">
        <f t="shared" ref="D23:W23" si="5">D24</f>
        <v>нд</v>
      </c>
      <c r="E23" s="28" t="str">
        <f t="shared" si="5"/>
        <v>нд</v>
      </c>
      <c r="F23" s="28" t="str">
        <f t="shared" si="5"/>
        <v>нд</v>
      </c>
      <c r="G23" s="28" t="str">
        <f t="shared" si="5"/>
        <v>нд</v>
      </c>
      <c r="H23" s="28" t="str">
        <f t="shared" si="5"/>
        <v>нд</v>
      </c>
      <c r="I23" s="28" t="str">
        <f t="shared" si="5"/>
        <v>нд</v>
      </c>
      <c r="J23" s="28" t="str">
        <f t="shared" si="5"/>
        <v>нд</v>
      </c>
      <c r="K23" s="199" t="str">
        <f t="shared" si="5"/>
        <v>нд</v>
      </c>
      <c r="L23" s="28" t="str">
        <f t="shared" si="5"/>
        <v>нд</v>
      </c>
      <c r="M23" s="197" t="str">
        <f t="shared" si="5"/>
        <v>нд</v>
      </c>
      <c r="N23" s="28">
        <f t="shared" si="5"/>
        <v>1.5669999999999999</v>
      </c>
      <c r="O23" s="397">
        <f t="shared" si="5"/>
        <v>3.24715</v>
      </c>
      <c r="P23" s="197" t="str">
        <f t="shared" si="5"/>
        <v>нд</v>
      </c>
      <c r="Q23" s="197" t="str">
        <f t="shared" si="5"/>
        <v>нд</v>
      </c>
      <c r="R23" s="197" t="str">
        <f t="shared" si="5"/>
        <v>нд</v>
      </c>
      <c r="S23" s="197" t="str">
        <f t="shared" si="5"/>
        <v>нд</v>
      </c>
      <c r="T23" s="197" t="str">
        <f t="shared" si="5"/>
        <v>нд</v>
      </c>
      <c r="U23" s="197" t="str">
        <f t="shared" si="5"/>
        <v>нд</v>
      </c>
      <c r="V23" s="197" t="str">
        <f t="shared" si="5"/>
        <v>нд</v>
      </c>
      <c r="W23" s="197" t="str">
        <f t="shared" si="5"/>
        <v>нд</v>
      </c>
    </row>
    <row r="24" spans="1:23" x14ac:dyDescent="0.25">
      <c r="A24" s="13" t="s">
        <v>49</v>
      </c>
      <c r="B24" s="15" t="s">
        <v>50</v>
      </c>
      <c r="C24" s="29" t="s">
        <v>33</v>
      </c>
      <c r="D24" s="29" t="str">
        <f t="shared" ref="D24:M24" si="6">D26</f>
        <v>нд</v>
      </c>
      <c r="E24" s="29" t="str">
        <f t="shared" si="6"/>
        <v>нд</v>
      </c>
      <c r="F24" s="29" t="str">
        <f t="shared" si="6"/>
        <v>нд</v>
      </c>
      <c r="G24" s="29" t="str">
        <f t="shared" si="6"/>
        <v>нд</v>
      </c>
      <c r="H24" s="29" t="str">
        <f t="shared" si="6"/>
        <v>нд</v>
      </c>
      <c r="I24" s="29" t="str">
        <f t="shared" si="6"/>
        <v>нд</v>
      </c>
      <c r="J24" s="29" t="str">
        <f t="shared" si="6"/>
        <v>нд</v>
      </c>
      <c r="K24" s="29" t="str">
        <f t="shared" si="6"/>
        <v>нд</v>
      </c>
      <c r="L24" s="29" t="str">
        <f t="shared" si="6"/>
        <v>нд</v>
      </c>
      <c r="M24" s="29" t="str">
        <f t="shared" si="6"/>
        <v>нд</v>
      </c>
      <c r="N24" s="196">
        <f>N25+N26+N27</f>
        <v>1.5669999999999999</v>
      </c>
      <c r="O24" s="196">
        <f>O25+O26+O27</f>
        <v>3.24715</v>
      </c>
      <c r="P24" s="29" t="str">
        <f t="shared" ref="P24:S24" si="7">P26</f>
        <v>нд</v>
      </c>
      <c r="Q24" s="29" t="str">
        <f t="shared" si="7"/>
        <v>нд</v>
      </c>
      <c r="R24" s="29" t="str">
        <f t="shared" si="7"/>
        <v>нд</v>
      </c>
      <c r="S24" s="29" t="str">
        <f t="shared" si="7"/>
        <v>нд</v>
      </c>
      <c r="T24" s="29" t="str">
        <f t="shared" ref="T24:W24" si="8">T26</f>
        <v>нд</v>
      </c>
      <c r="U24" s="29" t="str">
        <f t="shared" si="8"/>
        <v>нд</v>
      </c>
      <c r="V24" s="29" t="str">
        <f t="shared" si="8"/>
        <v>нд</v>
      </c>
      <c r="W24" s="29" t="str">
        <f t="shared" si="8"/>
        <v>нд</v>
      </c>
    </row>
    <row r="25" spans="1:23" s="189" customFormat="1" x14ac:dyDescent="0.25">
      <c r="A25" s="200" t="s">
        <v>51</v>
      </c>
      <c r="B25" s="236" t="s">
        <v>651</v>
      </c>
      <c r="C25" s="201" t="s">
        <v>1349</v>
      </c>
      <c r="D25" s="221" t="s">
        <v>33</v>
      </c>
      <c r="E25" s="221" t="s">
        <v>33</v>
      </c>
      <c r="F25" s="221" t="s">
        <v>33</v>
      </c>
      <c r="G25" s="221" t="s">
        <v>33</v>
      </c>
      <c r="H25" s="221" t="s">
        <v>33</v>
      </c>
      <c r="I25" s="221" t="s">
        <v>33</v>
      </c>
      <c r="J25" s="221" t="s">
        <v>33</v>
      </c>
      <c r="K25" s="221" t="s">
        <v>33</v>
      </c>
      <c r="L25" s="221" t="s">
        <v>33</v>
      </c>
      <c r="M25" s="221" t="s">
        <v>33</v>
      </c>
      <c r="N25" s="221">
        <v>0.74199999999999999</v>
      </c>
      <c r="O25" s="221">
        <v>0.74199999999999999</v>
      </c>
      <c r="P25" s="221" t="s">
        <v>33</v>
      </c>
      <c r="Q25" s="221" t="s">
        <v>33</v>
      </c>
      <c r="R25" s="221" t="s">
        <v>33</v>
      </c>
      <c r="S25" s="221" t="s">
        <v>33</v>
      </c>
      <c r="T25" s="221" t="s">
        <v>33</v>
      </c>
      <c r="U25" s="221" t="s">
        <v>33</v>
      </c>
      <c r="V25" s="221" t="s">
        <v>33</v>
      </c>
      <c r="W25" s="221" t="s">
        <v>33</v>
      </c>
    </row>
    <row r="26" spans="1:23" s="189" customFormat="1" x14ac:dyDescent="0.25">
      <c r="A26" s="200" t="s">
        <v>578</v>
      </c>
      <c r="B26" s="236" t="s">
        <v>652</v>
      </c>
      <c r="C26" s="201" t="s">
        <v>1350</v>
      </c>
      <c r="D26" s="221" t="s">
        <v>33</v>
      </c>
      <c r="E26" s="221" t="s">
        <v>33</v>
      </c>
      <c r="F26" s="221" t="s">
        <v>33</v>
      </c>
      <c r="G26" s="221" t="s">
        <v>33</v>
      </c>
      <c r="H26" s="221" t="s">
        <v>33</v>
      </c>
      <c r="I26" s="221" t="s">
        <v>33</v>
      </c>
      <c r="J26" s="221" t="s">
        <v>33</v>
      </c>
      <c r="K26" s="221" t="s">
        <v>33</v>
      </c>
      <c r="L26" s="221" t="s">
        <v>33</v>
      </c>
      <c r="M26" s="221" t="s">
        <v>33</v>
      </c>
      <c r="N26" s="221">
        <v>0.82499999999999996</v>
      </c>
      <c r="O26" s="221">
        <v>0.82499999999999996</v>
      </c>
      <c r="P26" s="221" t="s">
        <v>33</v>
      </c>
      <c r="Q26" s="221" t="s">
        <v>33</v>
      </c>
      <c r="R26" s="221" t="s">
        <v>33</v>
      </c>
      <c r="S26" s="221" t="s">
        <v>33</v>
      </c>
      <c r="T26" s="221" t="s">
        <v>33</v>
      </c>
      <c r="U26" s="221" t="s">
        <v>33</v>
      </c>
      <c r="V26" s="221" t="s">
        <v>33</v>
      </c>
      <c r="W26" s="221" t="s">
        <v>33</v>
      </c>
    </row>
    <row r="27" spans="1:23" ht="20.25" customHeight="1" x14ac:dyDescent="0.25">
      <c r="A27" s="200" t="s">
        <v>580</v>
      </c>
      <c r="B27" s="236" t="s">
        <v>1340</v>
      </c>
      <c r="C27" s="201" t="s">
        <v>1351</v>
      </c>
      <c r="D27" s="221" t="s">
        <v>33</v>
      </c>
      <c r="E27" s="221" t="s">
        <v>33</v>
      </c>
      <c r="F27" s="221" t="s">
        <v>33</v>
      </c>
      <c r="G27" s="221" t="s">
        <v>33</v>
      </c>
      <c r="H27" s="221" t="s">
        <v>33</v>
      </c>
      <c r="I27" s="221" t="s">
        <v>33</v>
      </c>
      <c r="J27" s="221" t="s">
        <v>33</v>
      </c>
      <c r="K27" s="221" t="s">
        <v>33</v>
      </c>
      <c r="L27" s="221" t="s">
        <v>33</v>
      </c>
      <c r="M27" s="221" t="s">
        <v>33</v>
      </c>
      <c r="N27" s="394">
        <v>0</v>
      </c>
      <c r="O27" s="395">
        <v>1.68015</v>
      </c>
      <c r="P27" s="221" t="s">
        <v>33</v>
      </c>
      <c r="Q27" s="221" t="s">
        <v>33</v>
      </c>
      <c r="R27" s="221" t="s">
        <v>33</v>
      </c>
      <c r="S27" s="221" t="s">
        <v>33</v>
      </c>
      <c r="T27" s="221" t="s">
        <v>33</v>
      </c>
      <c r="U27" s="221" t="s">
        <v>33</v>
      </c>
      <c r="V27" s="221" t="s">
        <v>33</v>
      </c>
      <c r="W27" s="221" t="s">
        <v>33</v>
      </c>
    </row>
    <row r="28" spans="1:23" s="25" customFormat="1" ht="31.5" x14ac:dyDescent="0.25">
      <c r="A28" s="23" t="s">
        <v>68</v>
      </c>
      <c r="B28" s="24" t="s">
        <v>69</v>
      </c>
      <c r="C28" s="28" t="s">
        <v>33</v>
      </c>
      <c r="D28" s="28" t="s">
        <v>33</v>
      </c>
      <c r="E28" s="28" t="s">
        <v>33</v>
      </c>
      <c r="F28" s="28" t="s">
        <v>33</v>
      </c>
      <c r="G28" s="28" t="s">
        <v>33</v>
      </c>
      <c r="H28" s="28" t="s">
        <v>33</v>
      </c>
      <c r="I28" s="28" t="s">
        <v>33</v>
      </c>
      <c r="J28" s="28" t="s">
        <v>33</v>
      </c>
      <c r="K28" s="28" t="s">
        <v>33</v>
      </c>
      <c r="L28" s="28" t="s">
        <v>33</v>
      </c>
      <c r="M28" s="28" t="s">
        <v>33</v>
      </c>
      <c r="N28" s="28" t="s">
        <v>33</v>
      </c>
      <c r="O28" s="28" t="s">
        <v>33</v>
      </c>
      <c r="P28" s="349">
        <f>P29</f>
        <v>171</v>
      </c>
      <c r="Q28" s="349">
        <f>Q29</f>
        <v>1</v>
      </c>
      <c r="R28" s="28" t="s">
        <v>33</v>
      </c>
      <c r="S28" s="28" t="s">
        <v>33</v>
      </c>
      <c r="T28" s="28" t="s">
        <v>33</v>
      </c>
      <c r="U28" s="28" t="s">
        <v>33</v>
      </c>
      <c r="V28" s="28" t="s">
        <v>33</v>
      </c>
      <c r="W28" s="28" t="s">
        <v>33</v>
      </c>
    </row>
    <row r="29" spans="1:23" ht="20.25" customHeight="1" outlineLevel="1" x14ac:dyDescent="0.25">
      <c r="A29" s="13" t="s">
        <v>70</v>
      </c>
      <c r="B29" s="15" t="s">
        <v>71</v>
      </c>
      <c r="C29" s="29" t="s">
        <v>33</v>
      </c>
      <c r="D29" s="29" t="str">
        <f t="shared" ref="D29:W29" si="9">D30</f>
        <v>нд</v>
      </c>
      <c r="E29" s="29" t="str">
        <f t="shared" si="9"/>
        <v>нд</v>
      </c>
      <c r="F29" s="29" t="str">
        <f t="shared" si="9"/>
        <v>нд</v>
      </c>
      <c r="G29" s="29" t="str">
        <f t="shared" si="9"/>
        <v>нд</v>
      </c>
      <c r="H29" s="29" t="str">
        <f t="shared" si="9"/>
        <v>нд</v>
      </c>
      <c r="I29" s="29" t="str">
        <f t="shared" si="9"/>
        <v>нд</v>
      </c>
      <c r="J29" s="29" t="str">
        <f t="shared" si="9"/>
        <v>нд</v>
      </c>
      <c r="K29" s="29" t="str">
        <f t="shared" si="9"/>
        <v>нд</v>
      </c>
      <c r="L29" s="29" t="str">
        <f t="shared" si="9"/>
        <v>нд</v>
      </c>
      <c r="M29" s="29" t="str">
        <f t="shared" si="9"/>
        <v>нд</v>
      </c>
      <c r="N29" s="29" t="str">
        <f t="shared" si="9"/>
        <v>нд</v>
      </c>
      <c r="O29" s="29" t="str">
        <f t="shared" si="9"/>
        <v>нд</v>
      </c>
      <c r="P29" s="347">
        <f>P30</f>
        <v>171</v>
      </c>
      <c r="Q29" s="396">
        <f>Q30+Q31</f>
        <v>1</v>
      </c>
      <c r="R29" s="29" t="s">
        <v>33</v>
      </c>
      <c r="S29" s="29" t="s">
        <v>33</v>
      </c>
      <c r="T29" s="29" t="str">
        <f t="shared" si="9"/>
        <v>нд</v>
      </c>
      <c r="U29" s="29" t="str">
        <f t="shared" si="9"/>
        <v>нд</v>
      </c>
      <c r="V29" s="29" t="str">
        <f t="shared" si="9"/>
        <v>нд</v>
      </c>
      <c r="W29" s="29" t="str">
        <f t="shared" si="9"/>
        <v>нд</v>
      </c>
    </row>
    <row r="30" spans="1:23" outlineLevel="1" x14ac:dyDescent="0.25">
      <c r="A30" s="200" t="s">
        <v>616</v>
      </c>
      <c r="B30" s="210" t="s">
        <v>621</v>
      </c>
      <c r="C30" s="201" t="s">
        <v>643</v>
      </c>
      <c r="D30" s="221" t="s">
        <v>33</v>
      </c>
      <c r="E30" s="221" t="s">
        <v>33</v>
      </c>
      <c r="F30" s="221" t="s">
        <v>33</v>
      </c>
      <c r="G30" s="221" t="s">
        <v>33</v>
      </c>
      <c r="H30" s="221" t="s">
        <v>33</v>
      </c>
      <c r="I30" s="221" t="s">
        <v>33</v>
      </c>
      <c r="J30" s="221" t="s">
        <v>33</v>
      </c>
      <c r="K30" s="221" t="s">
        <v>33</v>
      </c>
      <c r="L30" s="221" t="s">
        <v>33</v>
      </c>
      <c r="M30" s="221" t="s">
        <v>33</v>
      </c>
      <c r="N30" s="221" t="s">
        <v>33</v>
      </c>
      <c r="O30" s="221" t="s">
        <v>33</v>
      </c>
      <c r="P30" s="348">
        <v>171</v>
      </c>
      <c r="Q30" s="394">
        <v>0</v>
      </c>
      <c r="R30" s="221" t="s">
        <v>33</v>
      </c>
      <c r="S30" s="221" t="s">
        <v>33</v>
      </c>
      <c r="T30" s="221" t="s">
        <v>33</v>
      </c>
      <c r="U30" s="221" t="s">
        <v>33</v>
      </c>
      <c r="V30" s="221" t="s">
        <v>33</v>
      </c>
      <c r="W30" s="221" t="s">
        <v>33</v>
      </c>
    </row>
    <row r="31" spans="1:23" outlineLevel="1" x14ac:dyDescent="0.25">
      <c r="A31" s="200" t="s">
        <v>617</v>
      </c>
      <c r="B31" s="210" t="s">
        <v>1334</v>
      </c>
      <c r="C31" s="201" t="s">
        <v>1341</v>
      </c>
      <c r="D31" s="221" t="s">
        <v>33</v>
      </c>
      <c r="E31" s="221" t="s">
        <v>33</v>
      </c>
      <c r="F31" s="221" t="s">
        <v>33</v>
      </c>
      <c r="G31" s="221" t="s">
        <v>33</v>
      </c>
      <c r="H31" s="221" t="s">
        <v>33</v>
      </c>
      <c r="I31" s="221" t="s">
        <v>33</v>
      </c>
      <c r="J31" s="221" t="s">
        <v>33</v>
      </c>
      <c r="K31" s="221" t="s">
        <v>33</v>
      </c>
      <c r="L31" s="221" t="s">
        <v>33</v>
      </c>
      <c r="M31" s="221" t="s">
        <v>33</v>
      </c>
      <c r="N31" s="221" t="s">
        <v>33</v>
      </c>
      <c r="O31" s="221" t="s">
        <v>33</v>
      </c>
      <c r="P31" s="394">
        <v>0</v>
      </c>
      <c r="Q31" s="394">
        <v>1</v>
      </c>
      <c r="R31" s="221" t="s">
        <v>33</v>
      </c>
      <c r="S31" s="221" t="s">
        <v>33</v>
      </c>
      <c r="T31" s="221" t="s">
        <v>33</v>
      </c>
      <c r="U31" s="221" t="s">
        <v>33</v>
      </c>
      <c r="V31" s="221" t="s">
        <v>33</v>
      </c>
      <c r="W31" s="221" t="s">
        <v>33</v>
      </c>
    </row>
    <row r="32" spans="1:23" s="21" customFormat="1" x14ac:dyDescent="0.25">
      <c r="A32" s="18" t="s">
        <v>466</v>
      </c>
      <c r="B32" s="22" t="s">
        <v>467</v>
      </c>
      <c r="C32" s="314" t="s">
        <v>33</v>
      </c>
      <c r="D32" s="314" t="str">
        <f>D33</f>
        <v>нд</v>
      </c>
      <c r="E32" s="314" t="str">
        <f t="shared" ref="E32:W32" si="10">E33</f>
        <v>нд</v>
      </c>
      <c r="F32" s="314" t="str">
        <f t="shared" si="10"/>
        <v>нд</v>
      </c>
      <c r="G32" s="314" t="str">
        <f t="shared" si="10"/>
        <v>нд</v>
      </c>
      <c r="H32" s="314" t="str">
        <f t="shared" si="10"/>
        <v>нд</v>
      </c>
      <c r="I32" s="314" t="str">
        <f t="shared" si="10"/>
        <v>нд</v>
      </c>
      <c r="J32" s="314" t="str">
        <f t="shared" si="10"/>
        <v>нд</v>
      </c>
      <c r="K32" s="314" t="str">
        <f t="shared" si="10"/>
        <v>нд</v>
      </c>
      <c r="L32" s="314" t="str">
        <f t="shared" si="10"/>
        <v>нд</v>
      </c>
      <c r="M32" s="314" t="str">
        <f t="shared" si="10"/>
        <v>нд</v>
      </c>
      <c r="N32" s="314" t="str">
        <f t="shared" si="10"/>
        <v>нд</v>
      </c>
      <c r="O32" s="314" t="str">
        <f t="shared" si="10"/>
        <v>нд</v>
      </c>
      <c r="P32" s="26" t="s">
        <v>33</v>
      </c>
      <c r="Q32" s="26" t="s">
        <v>33</v>
      </c>
      <c r="R32" s="26" t="s">
        <v>33</v>
      </c>
      <c r="S32" s="26" t="s">
        <v>33</v>
      </c>
      <c r="T32" s="314">
        <f>T33</f>
        <v>1</v>
      </c>
      <c r="U32" s="314">
        <f>U33+U34</f>
        <v>2</v>
      </c>
      <c r="V32" s="314" t="str">
        <f t="shared" si="10"/>
        <v>нд</v>
      </c>
      <c r="W32" s="314" t="str">
        <f t="shared" si="10"/>
        <v>нд</v>
      </c>
    </row>
    <row r="33" spans="1:23" s="222" customFormat="1" x14ac:dyDescent="0.25">
      <c r="A33" s="237" t="s">
        <v>468</v>
      </c>
      <c r="B33" s="237" t="s">
        <v>623</v>
      </c>
      <c r="C33" s="201" t="s">
        <v>1352</v>
      </c>
      <c r="D33" s="315" t="s">
        <v>33</v>
      </c>
      <c r="E33" s="315" t="s">
        <v>33</v>
      </c>
      <c r="F33" s="315" t="s">
        <v>33</v>
      </c>
      <c r="G33" s="315" t="s">
        <v>33</v>
      </c>
      <c r="H33" s="315" t="s">
        <v>33</v>
      </c>
      <c r="I33" s="315" t="s">
        <v>33</v>
      </c>
      <c r="J33" s="315" t="s">
        <v>33</v>
      </c>
      <c r="K33" s="315" t="s">
        <v>33</v>
      </c>
      <c r="L33" s="315" t="s">
        <v>33</v>
      </c>
      <c r="M33" s="315" t="s">
        <v>33</v>
      </c>
      <c r="N33" s="315" t="s">
        <v>33</v>
      </c>
      <c r="O33" s="315" t="s">
        <v>33</v>
      </c>
      <c r="P33" s="315" t="s">
        <v>33</v>
      </c>
      <c r="Q33" s="315" t="s">
        <v>33</v>
      </c>
      <c r="R33" s="315" t="s">
        <v>33</v>
      </c>
      <c r="S33" s="315" t="s">
        <v>33</v>
      </c>
      <c r="T33" s="315">
        <v>1</v>
      </c>
      <c r="U33" s="315">
        <v>1</v>
      </c>
      <c r="V33" s="315" t="s">
        <v>33</v>
      </c>
      <c r="W33" s="315" t="s">
        <v>33</v>
      </c>
    </row>
    <row r="34" spans="1:23" s="188" customFormat="1" x14ac:dyDescent="0.25">
      <c r="A34" s="237" t="s">
        <v>622</v>
      </c>
      <c r="B34" s="237" t="s">
        <v>1337</v>
      </c>
      <c r="C34" s="201" t="s">
        <v>1353</v>
      </c>
      <c r="D34" s="315" t="s">
        <v>33</v>
      </c>
      <c r="E34" s="315" t="s">
        <v>33</v>
      </c>
      <c r="F34" s="315" t="s">
        <v>33</v>
      </c>
      <c r="G34" s="315" t="s">
        <v>33</v>
      </c>
      <c r="H34" s="315" t="s">
        <v>33</v>
      </c>
      <c r="I34" s="315" t="s">
        <v>33</v>
      </c>
      <c r="J34" s="315" t="s">
        <v>33</v>
      </c>
      <c r="K34" s="315" t="s">
        <v>33</v>
      </c>
      <c r="L34" s="315" t="s">
        <v>33</v>
      </c>
      <c r="M34" s="315" t="s">
        <v>33</v>
      </c>
      <c r="N34" s="315" t="s">
        <v>33</v>
      </c>
      <c r="O34" s="315" t="s">
        <v>33</v>
      </c>
      <c r="P34" s="315" t="s">
        <v>33</v>
      </c>
      <c r="Q34" s="315" t="s">
        <v>33</v>
      </c>
      <c r="R34" s="315" t="s">
        <v>33</v>
      </c>
      <c r="S34" s="315" t="s">
        <v>33</v>
      </c>
      <c r="T34" s="315" t="s">
        <v>33</v>
      </c>
      <c r="U34" s="315">
        <v>1</v>
      </c>
      <c r="V34" s="315" t="s">
        <v>33</v>
      </c>
      <c r="W34" s="315" t="s">
        <v>33</v>
      </c>
    </row>
    <row r="38" spans="1:23" s="1" customFormat="1" x14ac:dyDescent="0.25">
      <c r="B38" s="117" t="s">
        <v>52</v>
      </c>
      <c r="C38" s="12"/>
      <c r="D38" s="12"/>
      <c r="E38" s="12" t="s">
        <v>1325</v>
      </c>
      <c r="P38" s="344"/>
      <c r="Q38" s="344"/>
      <c r="R38" s="344"/>
      <c r="S38" s="344"/>
    </row>
  </sheetData>
  <mergeCells count="26">
    <mergeCell ref="B9:U9"/>
    <mergeCell ref="A10:W10"/>
    <mergeCell ref="A11:W11"/>
    <mergeCell ref="A12:A15"/>
    <mergeCell ref="B12:B15"/>
    <mergeCell ref="C12:C15"/>
    <mergeCell ref="D12:W12"/>
    <mergeCell ref="D13:I13"/>
    <mergeCell ref="J13:O13"/>
    <mergeCell ref="T13:W13"/>
    <mergeCell ref="P13:S13"/>
    <mergeCell ref="P14:Q14"/>
    <mergeCell ref="R14:S14"/>
    <mergeCell ref="D14:E14"/>
    <mergeCell ref="V14:W14"/>
    <mergeCell ref="F14:G14"/>
    <mergeCell ref="A1:W1"/>
    <mergeCell ref="A2:W2"/>
    <mergeCell ref="A4:W4"/>
    <mergeCell ref="A5:W5"/>
    <mergeCell ref="A7:W7"/>
    <mergeCell ref="H14:I14"/>
    <mergeCell ref="J14:K14"/>
    <mergeCell ref="L14:M14"/>
    <mergeCell ref="N14:O14"/>
    <mergeCell ref="T14:U14"/>
  </mergeCells>
  <pageMargins left="0.7" right="0.7" top="0.75" bottom="0.75" header="0.3" footer="0.3"/>
  <pageSetup paperSize="8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W34"/>
  <sheetViews>
    <sheetView topLeftCell="A13" zoomScale="75" zoomScaleNormal="75" workbookViewId="0">
      <selection activeCell="Z22" sqref="Z22"/>
    </sheetView>
  </sheetViews>
  <sheetFormatPr defaultColWidth="8.85546875" defaultRowHeight="15.75" outlineLevelRow="1" x14ac:dyDescent="0.25"/>
  <cols>
    <col min="1" max="1" width="10" style="14" customWidth="1"/>
    <col min="2" max="2" width="80.85546875" customWidth="1"/>
    <col min="3" max="3" width="11.5703125" customWidth="1"/>
    <col min="4" max="15" width="9.28515625" customWidth="1"/>
    <col min="16" max="16" width="8.140625" style="344" customWidth="1"/>
    <col min="17" max="17" width="11.85546875" style="344" customWidth="1"/>
    <col min="18" max="19" width="8.140625" style="344" customWidth="1"/>
    <col min="20" max="23" width="9.28515625" customWidth="1"/>
  </cols>
  <sheetData>
    <row r="1" spans="1:23" ht="18.75" x14ac:dyDescent="0.25">
      <c r="A1" s="603" t="s">
        <v>0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</row>
    <row r="2" spans="1:23" ht="18.75" x14ac:dyDescent="0.3">
      <c r="A2" s="604" t="s">
        <v>658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</row>
    <row r="3" spans="1:23" ht="18.75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34"/>
      <c r="Q3" s="334"/>
      <c r="R3" s="339"/>
      <c r="S3" s="339"/>
      <c r="T3" s="1"/>
      <c r="U3" s="1"/>
      <c r="V3" s="1"/>
      <c r="W3" s="1"/>
    </row>
    <row r="4" spans="1:23" ht="18.75" x14ac:dyDescent="0.25">
      <c r="A4" s="599" t="s">
        <v>1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</row>
    <row r="5" spans="1:23" x14ac:dyDescent="0.25">
      <c r="A5" s="605" t="s">
        <v>2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</row>
    <row r="6" spans="1:23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40"/>
      <c r="Q6" s="340"/>
      <c r="R6" s="341"/>
      <c r="S6" s="341"/>
      <c r="T6" s="1"/>
      <c r="U6" s="1"/>
      <c r="V6" s="1"/>
      <c r="W6" s="1"/>
    </row>
    <row r="7" spans="1:23" ht="18.75" x14ac:dyDescent="0.25">
      <c r="A7" s="599" t="s">
        <v>1328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</row>
    <row r="8" spans="1:23" ht="18.75" x14ac:dyDescent="0.25">
      <c r="A8" s="207"/>
      <c r="B8" s="208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356"/>
      <c r="P8" s="354"/>
      <c r="Q8" s="354"/>
      <c r="R8" s="354"/>
      <c r="S8" s="354"/>
      <c r="T8" s="355"/>
      <c r="U8" s="355"/>
      <c r="V8" s="208"/>
      <c r="W8" s="208"/>
    </row>
    <row r="9" spans="1:23" ht="25.5" customHeight="1" x14ac:dyDescent="0.3">
      <c r="A9" s="92"/>
      <c r="B9" s="599" t="s">
        <v>1346</v>
      </c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92"/>
      <c r="W9" s="92"/>
    </row>
    <row r="10" spans="1:23" ht="15.75" customHeight="1" x14ac:dyDescent="0.25">
      <c r="A10" s="600" t="s">
        <v>174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</row>
    <row r="11" spans="1:23" ht="15.75" customHeight="1" x14ac:dyDescent="0.3">
      <c r="A11" s="601"/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</row>
    <row r="12" spans="1:23" ht="31.5" customHeight="1" x14ac:dyDescent="0.25">
      <c r="A12" s="602" t="s">
        <v>3</v>
      </c>
      <c r="B12" s="602" t="s">
        <v>4</v>
      </c>
      <c r="C12" s="602" t="s">
        <v>5</v>
      </c>
      <c r="D12" s="602" t="s">
        <v>6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</row>
    <row r="13" spans="1:23" ht="87" customHeight="1" x14ac:dyDescent="0.25">
      <c r="A13" s="602"/>
      <c r="B13" s="602"/>
      <c r="C13" s="602"/>
      <c r="D13" s="602" t="s">
        <v>7</v>
      </c>
      <c r="E13" s="602"/>
      <c r="F13" s="602"/>
      <c r="G13" s="602"/>
      <c r="H13" s="602"/>
      <c r="I13" s="602"/>
      <c r="J13" s="602" t="s">
        <v>8</v>
      </c>
      <c r="K13" s="602"/>
      <c r="L13" s="602"/>
      <c r="M13" s="602"/>
      <c r="N13" s="602"/>
      <c r="O13" s="602"/>
      <c r="P13" s="606" t="s">
        <v>1319</v>
      </c>
      <c r="Q13" s="606"/>
      <c r="R13" s="606"/>
      <c r="S13" s="606"/>
      <c r="T13" s="602" t="s">
        <v>9</v>
      </c>
      <c r="U13" s="602"/>
      <c r="V13" s="602"/>
      <c r="W13" s="602"/>
    </row>
    <row r="14" spans="1:23" ht="179.25" customHeight="1" x14ac:dyDescent="0.25">
      <c r="A14" s="602"/>
      <c r="B14" s="602"/>
      <c r="C14" s="602"/>
      <c r="D14" s="602" t="s">
        <v>10</v>
      </c>
      <c r="E14" s="602"/>
      <c r="F14" s="602" t="s">
        <v>11</v>
      </c>
      <c r="G14" s="602"/>
      <c r="H14" s="602" t="s">
        <v>12</v>
      </c>
      <c r="I14" s="602"/>
      <c r="J14" s="602" t="s">
        <v>13</v>
      </c>
      <c r="K14" s="602"/>
      <c r="L14" s="602" t="s">
        <v>14</v>
      </c>
      <c r="M14" s="602"/>
      <c r="N14" s="602" t="s">
        <v>15</v>
      </c>
      <c r="O14" s="602"/>
      <c r="P14" s="607" t="s">
        <v>1320</v>
      </c>
      <c r="Q14" s="607"/>
      <c r="R14" s="606" t="s">
        <v>1321</v>
      </c>
      <c r="S14" s="606"/>
      <c r="T14" s="602" t="s">
        <v>16</v>
      </c>
      <c r="U14" s="602"/>
      <c r="V14" s="602" t="s">
        <v>17</v>
      </c>
      <c r="W14" s="602"/>
    </row>
    <row r="15" spans="1:23" ht="135" x14ac:dyDescent="0.25">
      <c r="A15" s="602"/>
      <c r="B15" s="602"/>
      <c r="C15" s="602"/>
      <c r="D15" s="5" t="s">
        <v>464</v>
      </c>
      <c r="E15" s="5" t="s">
        <v>87</v>
      </c>
      <c r="F15" s="5" t="s">
        <v>464</v>
      </c>
      <c r="G15" s="5" t="s">
        <v>87</v>
      </c>
      <c r="H15" s="5" t="s">
        <v>464</v>
      </c>
      <c r="I15" s="5" t="s">
        <v>87</v>
      </c>
      <c r="J15" s="5" t="s">
        <v>464</v>
      </c>
      <c r="K15" s="5" t="s">
        <v>87</v>
      </c>
      <c r="L15" s="5" t="s">
        <v>464</v>
      </c>
      <c r="M15" s="5" t="s">
        <v>87</v>
      </c>
      <c r="N15" s="5" t="s">
        <v>464</v>
      </c>
      <c r="O15" s="5" t="s">
        <v>87</v>
      </c>
      <c r="P15" s="345" t="s">
        <v>1322</v>
      </c>
      <c r="Q15" s="345" t="s">
        <v>1323</v>
      </c>
      <c r="R15" s="346" t="s">
        <v>1322</v>
      </c>
      <c r="S15" s="346" t="s">
        <v>1323</v>
      </c>
      <c r="T15" s="5" t="s">
        <v>464</v>
      </c>
      <c r="U15" s="5" t="s">
        <v>87</v>
      </c>
      <c r="V15" s="5" t="s">
        <v>464</v>
      </c>
      <c r="W15" s="5" t="s">
        <v>87</v>
      </c>
    </row>
    <row r="16" spans="1:23" x14ac:dyDescent="0.25">
      <c r="A16" s="6">
        <v>1</v>
      </c>
      <c r="B16" s="7">
        <v>2</v>
      </c>
      <c r="C16" s="6">
        <v>3</v>
      </c>
      <c r="D16" s="8" t="s">
        <v>18</v>
      </c>
      <c r="E16" s="8" t="s">
        <v>19</v>
      </c>
      <c r="F16" s="8" t="s">
        <v>20</v>
      </c>
      <c r="G16" s="8" t="s">
        <v>21</v>
      </c>
      <c r="H16" s="8" t="s">
        <v>1344</v>
      </c>
      <c r="I16" s="8" t="s">
        <v>1345</v>
      </c>
      <c r="J16" s="8" t="s">
        <v>23</v>
      </c>
      <c r="K16" s="8" t="s">
        <v>24</v>
      </c>
      <c r="L16" s="8" t="s">
        <v>25</v>
      </c>
      <c r="M16" s="8" t="s">
        <v>26</v>
      </c>
      <c r="N16" s="8" t="s">
        <v>150</v>
      </c>
      <c r="O16" s="8" t="s">
        <v>151</v>
      </c>
      <c r="P16" s="342" t="s">
        <v>856</v>
      </c>
      <c r="Q16" s="342" t="s">
        <v>858</v>
      </c>
      <c r="R16" s="343" t="s">
        <v>860</v>
      </c>
      <c r="S16" s="343" t="s">
        <v>862</v>
      </c>
      <c r="T16" s="8" t="s">
        <v>27</v>
      </c>
      <c r="U16" s="8" t="s">
        <v>28</v>
      </c>
      <c r="V16" s="8" t="s">
        <v>29</v>
      </c>
      <c r="W16" s="8" t="s">
        <v>30</v>
      </c>
    </row>
    <row r="17" spans="1:23" s="21" customFormat="1" x14ac:dyDescent="0.25">
      <c r="A17" s="18" t="s">
        <v>31</v>
      </c>
      <c r="B17" s="19" t="s">
        <v>32</v>
      </c>
      <c r="C17" s="26" t="s">
        <v>33</v>
      </c>
      <c r="D17" s="26" t="str">
        <f t="shared" ref="D17:W17" si="0">D18</f>
        <v>нд</v>
      </c>
      <c r="E17" s="26" t="str">
        <f t="shared" si="0"/>
        <v>нд</v>
      </c>
      <c r="F17" s="26" t="str">
        <f t="shared" si="0"/>
        <v>нд</v>
      </c>
      <c r="G17" s="26" t="str">
        <f t="shared" si="0"/>
        <v>нд</v>
      </c>
      <c r="H17" s="26" t="str">
        <f t="shared" si="0"/>
        <v>нд</v>
      </c>
      <c r="I17" s="26" t="str">
        <f t="shared" si="0"/>
        <v>нд</v>
      </c>
      <c r="J17" s="26">
        <f t="shared" si="0"/>
        <v>0.66</v>
      </c>
      <c r="K17" s="26">
        <f t="shared" si="0"/>
        <v>0.66</v>
      </c>
      <c r="L17" s="26" t="str">
        <f t="shared" si="0"/>
        <v>нд</v>
      </c>
      <c r="M17" s="198" t="str">
        <f t="shared" si="0"/>
        <v>нд</v>
      </c>
      <c r="N17" s="26">
        <f t="shared" si="0"/>
        <v>2.0659999999999998</v>
      </c>
      <c r="O17" s="26">
        <f t="shared" si="0"/>
        <v>2.0659999999999998</v>
      </c>
      <c r="P17" s="350">
        <f>P18</f>
        <v>201</v>
      </c>
      <c r="Q17" s="350">
        <f>Q18</f>
        <v>201</v>
      </c>
      <c r="R17" s="26" t="s">
        <v>33</v>
      </c>
      <c r="S17" s="26" t="s">
        <v>33</v>
      </c>
      <c r="T17" s="26" t="str">
        <f t="shared" si="0"/>
        <v>нд</v>
      </c>
      <c r="U17" s="26" t="str">
        <f t="shared" si="0"/>
        <v>нд</v>
      </c>
      <c r="V17" s="26" t="str">
        <f t="shared" si="0"/>
        <v>нд</v>
      </c>
      <c r="W17" s="26" t="str">
        <f t="shared" si="0"/>
        <v>нд</v>
      </c>
    </row>
    <row r="18" spans="1:23" s="20" customFormat="1" x14ac:dyDescent="0.25">
      <c r="A18" s="16" t="s">
        <v>55</v>
      </c>
      <c r="B18" s="17" t="s">
        <v>34</v>
      </c>
      <c r="C18" s="27" t="s">
        <v>33</v>
      </c>
      <c r="D18" s="27" t="str">
        <f>D19</f>
        <v>нд</v>
      </c>
      <c r="E18" s="27" t="str">
        <f t="shared" ref="E18:W18" si="1">E19</f>
        <v>нд</v>
      </c>
      <c r="F18" s="27" t="str">
        <f t="shared" si="1"/>
        <v>нд</v>
      </c>
      <c r="G18" s="27" t="str">
        <f t="shared" si="1"/>
        <v>нд</v>
      </c>
      <c r="H18" s="27" t="str">
        <f t="shared" si="1"/>
        <v>нд</v>
      </c>
      <c r="I18" s="27" t="str">
        <f t="shared" si="1"/>
        <v>нд</v>
      </c>
      <c r="J18" s="27">
        <f t="shared" si="1"/>
        <v>0.66</v>
      </c>
      <c r="K18" s="27">
        <f t="shared" si="1"/>
        <v>0.66</v>
      </c>
      <c r="L18" s="27" t="str">
        <f t="shared" si="1"/>
        <v>нд</v>
      </c>
      <c r="M18" s="27" t="str">
        <f t="shared" si="1"/>
        <v>нд</v>
      </c>
      <c r="N18" s="27">
        <f t="shared" si="1"/>
        <v>2.0659999999999998</v>
      </c>
      <c r="O18" s="27">
        <f t="shared" si="1"/>
        <v>2.0659999999999998</v>
      </c>
      <c r="P18" s="351">
        <f>P19</f>
        <v>201</v>
      </c>
      <c r="Q18" s="351">
        <f>Q19</f>
        <v>201</v>
      </c>
      <c r="R18" s="27" t="s">
        <v>33</v>
      </c>
      <c r="S18" s="27" t="s">
        <v>33</v>
      </c>
      <c r="T18" s="27" t="str">
        <f t="shared" si="1"/>
        <v>нд</v>
      </c>
      <c r="U18" s="27" t="str">
        <f t="shared" si="1"/>
        <v>нд</v>
      </c>
      <c r="V18" s="27" t="str">
        <f t="shared" si="1"/>
        <v>нд</v>
      </c>
      <c r="W18" s="27" t="str">
        <f t="shared" si="1"/>
        <v>нд</v>
      </c>
    </row>
    <row r="19" spans="1:23" s="21" customFormat="1" ht="31.5" x14ac:dyDescent="0.25">
      <c r="A19" s="18" t="s">
        <v>36</v>
      </c>
      <c r="B19" s="19" t="s">
        <v>37</v>
      </c>
      <c r="C19" s="26" t="s">
        <v>33</v>
      </c>
      <c r="D19" s="26" t="str">
        <f>D20</f>
        <v>нд</v>
      </c>
      <c r="E19" s="26" t="str">
        <f>E20</f>
        <v>нд</v>
      </c>
      <c r="F19" s="26" t="str">
        <f t="shared" ref="F19:W19" si="2">F20</f>
        <v>нд</v>
      </c>
      <c r="G19" s="26" t="str">
        <f t="shared" si="2"/>
        <v>нд</v>
      </c>
      <c r="H19" s="26" t="str">
        <f t="shared" si="2"/>
        <v>нд</v>
      </c>
      <c r="I19" s="26" t="str">
        <f t="shared" si="2"/>
        <v>нд</v>
      </c>
      <c r="J19" s="26">
        <f>J20+J23</f>
        <v>0.66</v>
      </c>
      <c r="K19" s="26">
        <f>K20+K23</f>
        <v>0.66</v>
      </c>
      <c r="L19" s="26" t="str">
        <f t="shared" si="2"/>
        <v>нд</v>
      </c>
      <c r="M19" s="26" t="str">
        <f t="shared" si="2"/>
        <v>нд</v>
      </c>
      <c r="N19" s="26">
        <f>N23</f>
        <v>2.0659999999999998</v>
      </c>
      <c r="O19" s="26">
        <f>O23</f>
        <v>2.0659999999999998</v>
      </c>
      <c r="P19" s="350">
        <f>P26</f>
        <v>201</v>
      </c>
      <c r="Q19" s="350">
        <f>Q26</f>
        <v>201</v>
      </c>
      <c r="R19" s="26" t="s">
        <v>33</v>
      </c>
      <c r="S19" s="26" t="s">
        <v>33</v>
      </c>
      <c r="T19" s="26" t="str">
        <f t="shared" si="2"/>
        <v>нд</v>
      </c>
      <c r="U19" s="26" t="str">
        <f t="shared" si="2"/>
        <v>нд</v>
      </c>
      <c r="V19" s="26" t="str">
        <f t="shared" si="2"/>
        <v>нд</v>
      </c>
      <c r="W19" s="26" t="str">
        <f t="shared" si="2"/>
        <v>нд</v>
      </c>
    </row>
    <row r="20" spans="1:23" s="25" customFormat="1" ht="47.25" x14ac:dyDescent="0.25">
      <c r="A20" s="23" t="s">
        <v>53</v>
      </c>
      <c r="B20" s="24" t="s">
        <v>54</v>
      </c>
      <c r="C20" s="28" t="s">
        <v>33</v>
      </c>
      <c r="D20" s="28" t="str">
        <f t="shared" ref="D20:W21" si="3">D21</f>
        <v>нд</v>
      </c>
      <c r="E20" s="28" t="str">
        <f t="shared" si="3"/>
        <v>нд</v>
      </c>
      <c r="F20" s="28" t="str">
        <f t="shared" si="3"/>
        <v>нд</v>
      </c>
      <c r="G20" s="28" t="str">
        <f t="shared" si="3"/>
        <v>нд</v>
      </c>
      <c r="H20" s="28" t="str">
        <f t="shared" si="3"/>
        <v>нд</v>
      </c>
      <c r="I20" s="28" t="str">
        <f t="shared" si="3"/>
        <v>нд</v>
      </c>
      <c r="J20" s="28">
        <f>J21</f>
        <v>0.5</v>
      </c>
      <c r="K20" s="28">
        <f t="shared" si="3"/>
        <v>0.5</v>
      </c>
      <c r="L20" s="28" t="str">
        <f t="shared" si="3"/>
        <v>нд</v>
      </c>
      <c r="M20" s="28" t="str">
        <f t="shared" si="3"/>
        <v>нд</v>
      </c>
      <c r="N20" s="28" t="str">
        <f t="shared" si="3"/>
        <v>нд</v>
      </c>
      <c r="O20" s="28" t="str">
        <f t="shared" si="3"/>
        <v>нд</v>
      </c>
      <c r="P20" s="28" t="s">
        <v>33</v>
      </c>
      <c r="Q20" s="28" t="s">
        <v>33</v>
      </c>
      <c r="R20" s="28" t="s">
        <v>33</v>
      </c>
      <c r="S20" s="28" t="s">
        <v>33</v>
      </c>
      <c r="T20" s="28" t="str">
        <f t="shared" si="3"/>
        <v>нд</v>
      </c>
      <c r="U20" s="28" t="str">
        <f t="shared" si="3"/>
        <v>нд</v>
      </c>
      <c r="V20" s="28" t="str">
        <f t="shared" si="3"/>
        <v>нд</v>
      </c>
      <c r="W20" s="28" t="str">
        <f t="shared" si="3"/>
        <v>нд</v>
      </c>
    </row>
    <row r="21" spans="1:23" ht="22.5" customHeight="1" x14ac:dyDescent="0.25">
      <c r="A21" s="13" t="s">
        <v>38</v>
      </c>
      <c r="B21" s="15" t="s">
        <v>39</v>
      </c>
      <c r="C21" s="29" t="s">
        <v>33</v>
      </c>
      <c r="D21" s="29" t="str">
        <f t="shared" si="3"/>
        <v>нд</v>
      </c>
      <c r="E21" s="29" t="str">
        <f t="shared" si="3"/>
        <v>нд</v>
      </c>
      <c r="F21" s="29" t="str">
        <f t="shared" si="3"/>
        <v>нд</v>
      </c>
      <c r="G21" s="29" t="str">
        <f t="shared" si="3"/>
        <v>нд</v>
      </c>
      <c r="H21" s="29" t="str">
        <f t="shared" si="3"/>
        <v>нд</v>
      </c>
      <c r="I21" s="29" t="str">
        <f t="shared" si="3"/>
        <v>нд</v>
      </c>
      <c r="J21" s="29">
        <f>J22</f>
        <v>0.5</v>
      </c>
      <c r="K21" s="29">
        <f t="shared" si="3"/>
        <v>0.5</v>
      </c>
      <c r="L21" s="29" t="str">
        <f t="shared" si="3"/>
        <v>нд</v>
      </c>
      <c r="M21" s="29" t="str">
        <f t="shared" si="3"/>
        <v>нд</v>
      </c>
      <c r="N21" s="29" t="str">
        <f t="shared" si="3"/>
        <v>нд</v>
      </c>
      <c r="O21" s="29" t="str">
        <f t="shared" si="3"/>
        <v>нд</v>
      </c>
      <c r="P21" s="29" t="s">
        <v>33</v>
      </c>
      <c r="Q21" s="29" t="s">
        <v>33</v>
      </c>
      <c r="R21" s="29" t="s">
        <v>33</v>
      </c>
      <c r="S21" s="29" t="s">
        <v>33</v>
      </c>
      <c r="T21" s="29" t="str">
        <f t="shared" si="3"/>
        <v>нд</v>
      </c>
      <c r="U21" s="29" t="str">
        <f t="shared" si="3"/>
        <v>нд</v>
      </c>
      <c r="V21" s="29" t="str">
        <f t="shared" si="3"/>
        <v>нд</v>
      </c>
      <c r="W21" s="29" t="str">
        <f t="shared" si="3"/>
        <v>нд</v>
      </c>
    </row>
    <row r="22" spans="1:23" s="189" customFormat="1" x14ac:dyDescent="0.25">
      <c r="A22" s="200" t="s">
        <v>40</v>
      </c>
      <c r="B22" s="237" t="s">
        <v>648</v>
      </c>
      <c r="C22" s="201" t="s">
        <v>637</v>
      </c>
      <c r="D22" s="221" t="s">
        <v>33</v>
      </c>
      <c r="E22" s="221" t="s">
        <v>33</v>
      </c>
      <c r="F22" s="221" t="s">
        <v>33</v>
      </c>
      <c r="G22" s="221" t="s">
        <v>33</v>
      </c>
      <c r="H22" s="221" t="s">
        <v>33</v>
      </c>
      <c r="I22" s="221" t="s">
        <v>33</v>
      </c>
      <c r="J22" s="221">
        <v>0.5</v>
      </c>
      <c r="K22" s="221">
        <f>J22</f>
        <v>0.5</v>
      </c>
      <c r="L22" s="221" t="s">
        <v>33</v>
      </c>
      <c r="M22" s="221" t="s">
        <v>33</v>
      </c>
      <c r="N22" s="221" t="s">
        <v>33</v>
      </c>
      <c r="O22" s="221" t="s">
        <v>33</v>
      </c>
      <c r="P22" s="221" t="s">
        <v>33</v>
      </c>
      <c r="Q22" s="221" t="s">
        <v>33</v>
      </c>
      <c r="R22" s="221" t="s">
        <v>33</v>
      </c>
      <c r="S22" s="221" t="s">
        <v>33</v>
      </c>
      <c r="T22" s="221" t="s">
        <v>33</v>
      </c>
      <c r="U22" s="221" t="s">
        <v>33</v>
      </c>
      <c r="V22" s="221" t="s">
        <v>33</v>
      </c>
      <c r="W22" s="221" t="s">
        <v>33</v>
      </c>
    </row>
    <row r="23" spans="1:23" s="25" customFormat="1" ht="31.5" x14ac:dyDescent="0.25">
      <c r="A23" s="23" t="s">
        <v>41</v>
      </c>
      <c r="B23" s="24" t="s">
        <v>42</v>
      </c>
      <c r="C23" s="28" t="s">
        <v>33</v>
      </c>
      <c r="D23" s="28" t="str">
        <f t="shared" ref="D23:W24" si="4">D24</f>
        <v>нд</v>
      </c>
      <c r="E23" s="28" t="str">
        <f t="shared" si="4"/>
        <v>нд</v>
      </c>
      <c r="F23" s="28" t="str">
        <f t="shared" si="4"/>
        <v>нд</v>
      </c>
      <c r="G23" s="28" t="str">
        <f t="shared" si="4"/>
        <v>нд</v>
      </c>
      <c r="H23" s="28" t="str">
        <f t="shared" si="4"/>
        <v>нд</v>
      </c>
      <c r="I23" s="28" t="str">
        <f t="shared" si="4"/>
        <v>нд</v>
      </c>
      <c r="J23" s="28">
        <f t="shared" si="4"/>
        <v>0.16</v>
      </c>
      <c r="K23" s="28">
        <f t="shared" si="4"/>
        <v>0.16</v>
      </c>
      <c r="L23" s="28" t="str">
        <f t="shared" si="4"/>
        <v>нд</v>
      </c>
      <c r="M23" s="28" t="str">
        <f t="shared" si="4"/>
        <v>нд</v>
      </c>
      <c r="N23" s="28">
        <f t="shared" si="4"/>
        <v>2.0659999999999998</v>
      </c>
      <c r="O23" s="28">
        <f t="shared" si="4"/>
        <v>2.0659999999999998</v>
      </c>
      <c r="P23" s="28" t="str">
        <f t="shared" si="4"/>
        <v>нд</v>
      </c>
      <c r="Q23" s="28" t="str">
        <f t="shared" si="4"/>
        <v>нд</v>
      </c>
      <c r="R23" s="28" t="str">
        <f t="shared" si="4"/>
        <v>нд</v>
      </c>
      <c r="S23" s="28" t="str">
        <f t="shared" si="4"/>
        <v>нд</v>
      </c>
      <c r="T23" s="28" t="str">
        <f t="shared" si="4"/>
        <v>нд</v>
      </c>
      <c r="U23" s="28" t="str">
        <f t="shared" si="4"/>
        <v>нд</v>
      </c>
      <c r="V23" s="28" t="str">
        <f t="shared" si="4"/>
        <v>нд</v>
      </c>
      <c r="W23" s="28" t="str">
        <f t="shared" si="4"/>
        <v>нд</v>
      </c>
    </row>
    <row r="24" spans="1:23" x14ac:dyDescent="0.25">
      <c r="A24" s="13" t="s">
        <v>49</v>
      </c>
      <c r="B24" s="15" t="s">
        <v>50</v>
      </c>
      <c r="C24" s="29" t="s">
        <v>33</v>
      </c>
      <c r="D24" s="29" t="str">
        <f t="shared" si="4"/>
        <v>нд</v>
      </c>
      <c r="E24" s="29" t="str">
        <f t="shared" si="4"/>
        <v>нд</v>
      </c>
      <c r="F24" s="29" t="str">
        <f t="shared" si="4"/>
        <v>нд</v>
      </c>
      <c r="G24" s="29" t="str">
        <f t="shared" si="4"/>
        <v>нд</v>
      </c>
      <c r="H24" s="29" t="str">
        <f t="shared" si="4"/>
        <v>нд</v>
      </c>
      <c r="I24" s="29" t="str">
        <f t="shared" si="4"/>
        <v>нд</v>
      </c>
      <c r="J24" s="29">
        <f t="shared" si="4"/>
        <v>0.16</v>
      </c>
      <c r="K24" s="29">
        <f t="shared" si="4"/>
        <v>0.16</v>
      </c>
      <c r="L24" s="29" t="str">
        <f t="shared" si="4"/>
        <v>нд</v>
      </c>
      <c r="M24" s="29" t="str">
        <f t="shared" si="4"/>
        <v>нд</v>
      </c>
      <c r="N24" s="29">
        <f t="shared" si="4"/>
        <v>2.0659999999999998</v>
      </c>
      <c r="O24" s="29">
        <f t="shared" si="4"/>
        <v>2.0659999999999998</v>
      </c>
      <c r="P24" s="29" t="str">
        <f t="shared" si="4"/>
        <v>нд</v>
      </c>
      <c r="Q24" s="29" t="str">
        <f t="shared" si="4"/>
        <v>нд</v>
      </c>
      <c r="R24" s="29" t="str">
        <f t="shared" si="4"/>
        <v>нд</v>
      </c>
      <c r="S24" s="29" t="str">
        <f t="shared" si="4"/>
        <v>нд</v>
      </c>
      <c r="T24" s="29" t="str">
        <f t="shared" si="4"/>
        <v>нд</v>
      </c>
      <c r="U24" s="29" t="str">
        <f t="shared" si="4"/>
        <v>нд</v>
      </c>
      <c r="V24" s="29" t="str">
        <f t="shared" si="4"/>
        <v>нд</v>
      </c>
      <c r="W24" s="29" t="str">
        <f t="shared" si="4"/>
        <v>нд</v>
      </c>
    </row>
    <row r="25" spans="1:23" s="189" customFormat="1" ht="47.25" x14ac:dyDescent="0.25">
      <c r="A25" s="200" t="s">
        <v>51</v>
      </c>
      <c r="B25" s="236" t="s">
        <v>653</v>
      </c>
      <c r="C25" s="201" t="s">
        <v>640</v>
      </c>
      <c r="D25" s="223" t="s">
        <v>33</v>
      </c>
      <c r="E25" s="223" t="s">
        <v>33</v>
      </c>
      <c r="F25" s="223" t="s">
        <v>33</v>
      </c>
      <c r="G25" s="223" t="s">
        <v>33</v>
      </c>
      <c r="H25" s="223" t="s">
        <v>33</v>
      </c>
      <c r="I25" s="223" t="s">
        <v>33</v>
      </c>
      <c r="J25" s="221">
        <v>0.16</v>
      </c>
      <c r="K25" s="569">
        <f>J25</f>
        <v>0.16</v>
      </c>
      <c r="L25" s="223" t="s">
        <v>33</v>
      </c>
      <c r="M25" s="223" t="s">
        <v>33</v>
      </c>
      <c r="N25" s="569">
        <v>2.0659999999999998</v>
      </c>
      <c r="O25" s="569">
        <v>2.0659999999999998</v>
      </c>
      <c r="P25" s="221" t="s">
        <v>33</v>
      </c>
      <c r="Q25" s="221" t="s">
        <v>33</v>
      </c>
      <c r="R25" s="221" t="s">
        <v>33</v>
      </c>
      <c r="S25" s="221" t="s">
        <v>33</v>
      </c>
      <c r="T25" s="223" t="s">
        <v>33</v>
      </c>
      <c r="U25" s="223" t="s">
        <v>33</v>
      </c>
      <c r="V25" s="223" t="s">
        <v>33</v>
      </c>
      <c r="W25" s="223" t="s">
        <v>33</v>
      </c>
    </row>
    <row r="26" spans="1:23" s="25" customFormat="1" ht="31.5" x14ac:dyDescent="0.25">
      <c r="A26" s="23" t="s">
        <v>68</v>
      </c>
      <c r="B26" s="24" t="s">
        <v>69</v>
      </c>
      <c r="C26" s="28" t="str">
        <f>C27</f>
        <v>нд</v>
      </c>
      <c r="D26" s="28" t="str">
        <f t="shared" ref="D26:W26" si="5">D27</f>
        <v>нд</v>
      </c>
      <c r="E26" s="28" t="str">
        <f t="shared" si="5"/>
        <v>нд</v>
      </c>
      <c r="F26" s="28" t="str">
        <f t="shared" si="5"/>
        <v>нд</v>
      </c>
      <c r="G26" s="28" t="str">
        <f t="shared" si="5"/>
        <v>нд</v>
      </c>
      <c r="H26" s="28" t="str">
        <f t="shared" si="5"/>
        <v>нд</v>
      </c>
      <c r="I26" s="28" t="str">
        <f t="shared" si="5"/>
        <v>нд</v>
      </c>
      <c r="J26" s="28" t="str">
        <f t="shared" si="5"/>
        <v>нд</v>
      </c>
      <c r="K26" s="28" t="str">
        <f t="shared" si="5"/>
        <v>нд</v>
      </c>
      <c r="L26" s="28" t="str">
        <f t="shared" si="5"/>
        <v>нд</v>
      </c>
      <c r="M26" s="28" t="str">
        <f t="shared" si="5"/>
        <v>нд</v>
      </c>
      <c r="N26" s="28" t="str">
        <f t="shared" si="5"/>
        <v>нд</v>
      </c>
      <c r="O26" s="28" t="str">
        <f t="shared" si="5"/>
        <v>нд</v>
      </c>
      <c r="P26" s="349">
        <f>P27</f>
        <v>201</v>
      </c>
      <c r="Q26" s="349">
        <f>Q27</f>
        <v>201</v>
      </c>
      <c r="R26" s="28" t="s">
        <v>33</v>
      </c>
      <c r="S26" s="28" t="s">
        <v>33</v>
      </c>
      <c r="T26" s="28" t="str">
        <f t="shared" si="5"/>
        <v>нд</v>
      </c>
      <c r="U26" s="28" t="str">
        <f t="shared" si="5"/>
        <v>нд</v>
      </c>
      <c r="V26" s="28" t="str">
        <f t="shared" si="5"/>
        <v>нд</v>
      </c>
      <c r="W26" s="28" t="str">
        <f t="shared" si="5"/>
        <v>нд</v>
      </c>
    </row>
    <row r="27" spans="1:23" ht="21.75" customHeight="1" outlineLevel="1" x14ac:dyDescent="0.25">
      <c r="A27" s="13" t="s">
        <v>70</v>
      </c>
      <c r="B27" s="15" t="s">
        <v>71</v>
      </c>
      <c r="C27" s="29" t="s">
        <v>33</v>
      </c>
      <c r="D27" s="29" t="str">
        <f t="shared" ref="D27:W27" si="6">D28</f>
        <v>нд</v>
      </c>
      <c r="E27" s="29" t="str">
        <f t="shared" si="6"/>
        <v>нд</v>
      </c>
      <c r="F27" s="29" t="str">
        <f t="shared" si="6"/>
        <v>нд</v>
      </c>
      <c r="G27" s="29" t="str">
        <f t="shared" si="6"/>
        <v>нд</v>
      </c>
      <c r="H27" s="29" t="str">
        <f t="shared" si="6"/>
        <v>нд</v>
      </c>
      <c r="I27" s="29" t="str">
        <f t="shared" si="6"/>
        <v>нд</v>
      </c>
      <c r="J27" s="29" t="str">
        <f t="shared" si="6"/>
        <v>нд</v>
      </c>
      <c r="K27" s="29" t="str">
        <f t="shared" si="6"/>
        <v>нд</v>
      </c>
      <c r="L27" s="29" t="str">
        <f t="shared" si="6"/>
        <v>нд</v>
      </c>
      <c r="M27" s="29" t="str">
        <f t="shared" si="6"/>
        <v>нд</v>
      </c>
      <c r="N27" s="29" t="str">
        <f t="shared" si="6"/>
        <v>нд</v>
      </c>
      <c r="O27" s="29" t="str">
        <f t="shared" si="6"/>
        <v>нд</v>
      </c>
      <c r="P27" s="347">
        <f>P28</f>
        <v>201</v>
      </c>
      <c r="Q27" s="347">
        <f>Q28</f>
        <v>201</v>
      </c>
      <c r="R27" s="29" t="s">
        <v>33</v>
      </c>
      <c r="S27" s="29" t="s">
        <v>33</v>
      </c>
      <c r="T27" s="29" t="str">
        <f t="shared" si="6"/>
        <v>нд</v>
      </c>
      <c r="U27" s="29" t="str">
        <f t="shared" si="6"/>
        <v>нд</v>
      </c>
      <c r="V27" s="29" t="str">
        <f t="shared" si="6"/>
        <v>нд</v>
      </c>
      <c r="W27" s="29" t="str">
        <f t="shared" si="6"/>
        <v>нд</v>
      </c>
    </row>
    <row r="28" spans="1:23" outlineLevel="1" x14ac:dyDescent="0.25">
      <c r="A28" s="200" t="s">
        <v>616</v>
      </c>
      <c r="B28" s="210" t="s">
        <v>621</v>
      </c>
      <c r="C28" s="201" t="s">
        <v>644</v>
      </c>
      <c r="D28" s="221" t="s">
        <v>33</v>
      </c>
      <c r="E28" s="221" t="s">
        <v>33</v>
      </c>
      <c r="F28" s="221" t="s">
        <v>33</v>
      </c>
      <c r="G28" s="221" t="s">
        <v>33</v>
      </c>
      <c r="H28" s="221" t="s">
        <v>33</v>
      </c>
      <c r="I28" s="221" t="s">
        <v>33</v>
      </c>
      <c r="J28" s="221" t="s">
        <v>33</v>
      </c>
      <c r="K28" s="221" t="s">
        <v>33</v>
      </c>
      <c r="L28" s="221" t="s">
        <v>33</v>
      </c>
      <c r="M28" s="221" t="s">
        <v>33</v>
      </c>
      <c r="N28" s="221" t="s">
        <v>33</v>
      </c>
      <c r="O28" s="221" t="s">
        <v>33</v>
      </c>
      <c r="P28" s="348">
        <v>201</v>
      </c>
      <c r="Q28" s="348">
        <v>201</v>
      </c>
      <c r="R28" s="221" t="s">
        <v>33</v>
      </c>
      <c r="S28" s="221" t="s">
        <v>33</v>
      </c>
      <c r="T28" s="221" t="s">
        <v>33</v>
      </c>
      <c r="U28" s="221" t="s">
        <v>33</v>
      </c>
      <c r="V28" s="221" t="s">
        <v>33</v>
      </c>
      <c r="W28" s="221" t="s">
        <v>33</v>
      </c>
    </row>
    <row r="29" spans="1:23" s="21" customFormat="1" x14ac:dyDescent="0.25">
      <c r="A29" s="18" t="s">
        <v>466</v>
      </c>
      <c r="B29" s="22" t="s">
        <v>467</v>
      </c>
      <c r="C29" s="314" t="s">
        <v>33</v>
      </c>
      <c r="D29" s="314" t="str">
        <f>D30</f>
        <v>нд</v>
      </c>
      <c r="E29" s="314" t="str">
        <f t="shared" ref="E29:W29" si="7">E30</f>
        <v>нд</v>
      </c>
      <c r="F29" s="314" t="str">
        <f t="shared" si="7"/>
        <v>нд</v>
      </c>
      <c r="G29" s="314" t="str">
        <f t="shared" si="7"/>
        <v>нд</v>
      </c>
      <c r="H29" s="314" t="str">
        <f t="shared" si="7"/>
        <v>нд</v>
      </c>
      <c r="I29" s="314" t="str">
        <f t="shared" si="7"/>
        <v>нд</v>
      </c>
      <c r="J29" s="314" t="str">
        <f t="shared" si="7"/>
        <v>нд</v>
      </c>
      <c r="K29" s="314" t="str">
        <f t="shared" si="7"/>
        <v>нд</v>
      </c>
      <c r="L29" s="314" t="str">
        <f t="shared" si="7"/>
        <v>нд</v>
      </c>
      <c r="M29" s="314" t="str">
        <f t="shared" si="7"/>
        <v>нд</v>
      </c>
      <c r="N29" s="314" t="str">
        <f t="shared" si="7"/>
        <v>нд</v>
      </c>
      <c r="O29" s="314" t="str">
        <f t="shared" si="7"/>
        <v>нд</v>
      </c>
      <c r="P29" s="26" t="s">
        <v>33</v>
      </c>
      <c r="Q29" s="26" t="s">
        <v>33</v>
      </c>
      <c r="R29" s="26" t="s">
        <v>33</v>
      </c>
      <c r="S29" s="26" t="s">
        <v>33</v>
      </c>
      <c r="T29" s="314" t="str">
        <f t="shared" si="7"/>
        <v>нд</v>
      </c>
      <c r="U29" s="314" t="str">
        <f t="shared" si="7"/>
        <v>нд</v>
      </c>
      <c r="V29" s="314" t="str">
        <f t="shared" si="7"/>
        <v>нд</v>
      </c>
      <c r="W29" s="314" t="str">
        <f t="shared" si="7"/>
        <v>нд</v>
      </c>
    </row>
    <row r="30" spans="1:23" s="222" customFormat="1" x14ac:dyDescent="0.25">
      <c r="A30" s="224" t="s">
        <v>468</v>
      </c>
      <c r="B30" s="237" t="s">
        <v>624</v>
      </c>
      <c r="C30" s="201" t="s">
        <v>646</v>
      </c>
      <c r="D30" s="315" t="s">
        <v>33</v>
      </c>
      <c r="E30" s="315" t="s">
        <v>33</v>
      </c>
      <c r="F30" s="315" t="s">
        <v>33</v>
      </c>
      <c r="G30" s="315" t="s">
        <v>33</v>
      </c>
      <c r="H30" s="315" t="s">
        <v>33</v>
      </c>
      <c r="I30" s="315" t="s">
        <v>33</v>
      </c>
      <c r="J30" s="315" t="s">
        <v>33</v>
      </c>
      <c r="K30" s="315" t="s">
        <v>33</v>
      </c>
      <c r="L30" s="315" t="s">
        <v>33</v>
      </c>
      <c r="M30" s="315" t="s">
        <v>33</v>
      </c>
      <c r="N30" s="315" t="s">
        <v>33</v>
      </c>
      <c r="O30" s="315" t="s">
        <v>33</v>
      </c>
      <c r="P30" s="315" t="s">
        <v>33</v>
      </c>
      <c r="Q30" s="315" t="s">
        <v>33</v>
      </c>
      <c r="R30" s="315" t="s">
        <v>33</v>
      </c>
      <c r="S30" s="315" t="s">
        <v>33</v>
      </c>
      <c r="T30" s="315" t="s">
        <v>33</v>
      </c>
      <c r="U30" s="315" t="s">
        <v>33</v>
      </c>
      <c r="V30" s="315" t="s">
        <v>33</v>
      </c>
      <c r="W30" s="315" t="s">
        <v>33</v>
      </c>
    </row>
    <row r="34" spans="2:19" s="1" customFormat="1" x14ac:dyDescent="0.25">
      <c r="B34" s="117" t="s">
        <v>52</v>
      </c>
      <c r="C34" s="12"/>
      <c r="D34" s="12"/>
      <c r="E34" s="12" t="s">
        <v>1325</v>
      </c>
      <c r="P34" s="344"/>
      <c r="Q34" s="344"/>
      <c r="R34" s="344"/>
      <c r="S34" s="344"/>
    </row>
  </sheetData>
  <mergeCells count="26">
    <mergeCell ref="B9:U9"/>
    <mergeCell ref="A10:W10"/>
    <mergeCell ref="A11:W11"/>
    <mergeCell ref="A12:A15"/>
    <mergeCell ref="B12:B15"/>
    <mergeCell ref="C12:C15"/>
    <mergeCell ref="D12:W12"/>
    <mergeCell ref="D13:I13"/>
    <mergeCell ref="J13:O13"/>
    <mergeCell ref="T13:W13"/>
    <mergeCell ref="P13:S13"/>
    <mergeCell ref="P14:Q14"/>
    <mergeCell ref="R14:S14"/>
    <mergeCell ref="D14:E14"/>
    <mergeCell ref="V14:W14"/>
    <mergeCell ref="F14:G14"/>
    <mergeCell ref="A1:W1"/>
    <mergeCell ref="A2:W2"/>
    <mergeCell ref="A4:W4"/>
    <mergeCell ref="A5:W5"/>
    <mergeCell ref="A7:W7"/>
    <mergeCell ref="H14:I14"/>
    <mergeCell ref="J14:K14"/>
    <mergeCell ref="L14:M14"/>
    <mergeCell ref="N14:O14"/>
    <mergeCell ref="T14:U14"/>
  </mergeCells>
  <pageMargins left="0.7" right="0.7" top="0.75" bottom="0.75" header="0.3" footer="0.3"/>
  <pageSetup paperSize="8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W29"/>
  <sheetViews>
    <sheetView topLeftCell="A7" zoomScale="75" zoomScaleNormal="75" workbookViewId="0">
      <selection activeCell="Z15" sqref="Z15"/>
    </sheetView>
  </sheetViews>
  <sheetFormatPr defaultColWidth="8.85546875" defaultRowHeight="15.75" outlineLevelRow="1" x14ac:dyDescent="0.25"/>
  <cols>
    <col min="1" max="1" width="10" style="14" customWidth="1"/>
    <col min="2" max="2" width="87.7109375" customWidth="1"/>
    <col min="3" max="3" width="12.140625" customWidth="1"/>
    <col min="4" max="8" width="9.28515625" customWidth="1"/>
    <col min="9" max="9" width="14" customWidth="1"/>
    <col min="10" max="14" width="9.28515625" customWidth="1"/>
    <col min="15" max="15" width="17" customWidth="1"/>
    <col min="16" max="16" width="8.140625" style="344" customWidth="1"/>
    <col min="17" max="17" width="11.28515625" style="344" customWidth="1"/>
    <col min="18" max="18" width="8.140625" style="344" customWidth="1"/>
    <col min="19" max="19" width="11.42578125" style="344" customWidth="1"/>
    <col min="20" max="20" width="12" customWidth="1"/>
    <col min="21" max="21" width="10.5703125" customWidth="1"/>
    <col min="22" max="22" width="10" customWidth="1"/>
    <col min="23" max="23" width="9.28515625" customWidth="1"/>
  </cols>
  <sheetData>
    <row r="1" spans="1:23" ht="18.75" x14ac:dyDescent="0.25">
      <c r="A1" s="603" t="s">
        <v>0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</row>
    <row r="2" spans="1:23" ht="18.75" x14ac:dyDescent="0.3">
      <c r="A2" s="604" t="s">
        <v>659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</row>
    <row r="3" spans="1:23" ht="18.75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34"/>
      <c r="Q3" s="334"/>
      <c r="R3" s="339"/>
      <c r="S3" s="339"/>
      <c r="T3" s="1"/>
      <c r="U3" s="1"/>
      <c r="V3" s="1"/>
      <c r="W3" s="1"/>
    </row>
    <row r="4" spans="1:23" ht="18.75" x14ac:dyDescent="0.25">
      <c r="A4" s="599" t="s">
        <v>1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</row>
    <row r="5" spans="1:23" x14ac:dyDescent="0.25">
      <c r="A5" s="605" t="s">
        <v>2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</row>
    <row r="6" spans="1:23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40"/>
      <c r="Q6" s="340"/>
      <c r="R6" s="341"/>
      <c r="S6" s="341"/>
      <c r="T6" s="1"/>
      <c r="U6" s="1"/>
      <c r="V6" s="1"/>
      <c r="W6" s="1"/>
    </row>
    <row r="7" spans="1:23" ht="18.75" x14ac:dyDescent="0.25">
      <c r="A7" s="599" t="s">
        <v>1328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</row>
    <row r="8" spans="1:23" ht="18.75" x14ac:dyDescent="0.25">
      <c r="A8" s="207"/>
      <c r="B8" s="208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354"/>
      <c r="Q8" s="354"/>
      <c r="R8" s="354"/>
      <c r="S8" s="354"/>
      <c r="T8" s="355"/>
      <c r="U8" s="208"/>
      <c r="V8" s="208"/>
      <c r="W8" s="208"/>
    </row>
    <row r="9" spans="1:23" ht="21" customHeight="1" x14ac:dyDescent="0.3">
      <c r="A9" s="92"/>
      <c r="B9" s="599" t="s">
        <v>1346</v>
      </c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92"/>
      <c r="W9" s="92"/>
    </row>
    <row r="10" spans="1:23" ht="15.75" customHeight="1" x14ac:dyDescent="0.25">
      <c r="A10" s="600" t="s">
        <v>174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</row>
    <row r="11" spans="1:23" ht="15.75" customHeight="1" x14ac:dyDescent="0.3">
      <c r="A11" s="601"/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</row>
    <row r="12" spans="1:23" ht="31.5" customHeight="1" x14ac:dyDescent="0.25">
      <c r="A12" s="602" t="s">
        <v>3</v>
      </c>
      <c r="B12" s="602" t="s">
        <v>4</v>
      </c>
      <c r="C12" s="602" t="s">
        <v>5</v>
      </c>
      <c r="D12" s="602" t="s">
        <v>6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</row>
    <row r="13" spans="1:23" ht="87" customHeight="1" x14ac:dyDescent="0.25">
      <c r="A13" s="602"/>
      <c r="B13" s="602"/>
      <c r="C13" s="602"/>
      <c r="D13" s="602" t="s">
        <v>7</v>
      </c>
      <c r="E13" s="602"/>
      <c r="F13" s="602"/>
      <c r="G13" s="602"/>
      <c r="H13" s="602"/>
      <c r="I13" s="602"/>
      <c r="J13" s="602" t="s">
        <v>8</v>
      </c>
      <c r="K13" s="602"/>
      <c r="L13" s="602"/>
      <c r="M13" s="602"/>
      <c r="N13" s="602"/>
      <c r="O13" s="602"/>
      <c r="P13" s="606" t="s">
        <v>1319</v>
      </c>
      <c r="Q13" s="606"/>
      <c r="R13" s="606"/>
      <c r="S13" s="606"/>
      <c r="T13" s="602" t="s">
        <v>9</v>
      </c>
      <c r="U13" s="602"/>
      <c r="V13" s="602"/>
      <c r="W13" s="602"/>
    </row>
    <row r="14" spans="1:23" ht="179.25" customHeight="1" x14ac:dyDescent="0.25">
      <c r="A14" s="602"/>
      <c r="B14" s="602"/>
      <c r="C14" s="602"/>
      <c r="D14" s="602" t="s">
        <v>10</v>
      </c>
      <c r="E14" s="602"/>
      <c r="F14" s="602" t="s">
        <v>11</v>
      </c>
      <c r="G14" s="602"/>
      <c r="H14" s="602" t="s">
        <v>12</v>
      </c>
      <c r="I14" s="602"/>
      <c r="J14" s="602" t="s">
        <v>13</v>
      </c>
      <c r="K14" s="602"/>
      <c r="L14" s="602" t="s">
        <v>14</v>
      </c>
      <c r="M14" s="602"/>
      <c r="N14" s="602" t="s">
        <v>15</v>
      </c>
      <c r="O14" s="602"/>
      <c r="P14" s="607" t="s">
        <v>1320</v>
      </c>
      <c r="Q14" s="607"/>
      <c r="R14" s="606" t="s">
        <v>1321</v>
      </c>
      <c r="S14" s="606"/>
      <c r="T14" s="602" t="s">
        <v>16</v>
      </c>
      <c r="U14" s="602"/>
      <c r="V14" s="602" t="s">
        <v>17</v>
      </c>
      <c r="W14" s="602"/>
    </row>
    <row r="15" spans="1:23" ht="131.25" x14ac:dyDescent="0.25">
      <c r="A15" s="602"/>
      <c r="B15" s="602"/>
      <c r="C15" s="602"/>
      <c r="D15" s="5" t="s">
        <v>464</v>
      </c>
      <c r="E15" s="5" t="s">
        <v>87</v>
      </c>
      <c r="F15" s="5" t="s">
        <v>464</v>
      </c>
      <c r="G15" s="5" t="s">
        <v>87</v>
      </c>
      <c r="H15" s="5" t="s">
        <v>464</v>
      </c>
      <c r="I15" s="5" t="s">
        <v>87</v>
      </c>
      <c r="J15" s="5" t="s">
        <v>464</v>
      </c>
      <c r="K15" s="5" t="s">
        <v>87</v>
      </c>
      <c r="L15" s="5" t="s">
        <v>464</v>
      </c>
      <c r="M15" s="5" t="s">
        <v>87</v>
      </c>
      <c r="N15" s="5" t="s">
        <v>464</v>
      </c>
      <c r="O15" s="5" t="s">
        <v>87</v>
      </c>
      <c r="P15" s="345" t="s">
        <v>1322</v>
      </c>
      <c r="Q15" s="345" t="s">
        <v>1323</v>
      </c>
      <c r="R15" s="346" t="s">
        <v>1322</v>
      </c>
      <c r="S15" s="346" t="s">
        <v>1323</v>
      </c>
      <c r="T15" s="5" t="s">
        <v>464</v>
      </c>
      <c r="U15" s="5" t="s">
        <v>87</v>
      </c>
      <c r="V15" s="5" t="s">
        <v>464</v>
      </c>
      <c r="W15" s="5" t="s">
        <v>87</v>
      </c>
    </row>
    <row r="16" spans="1:23" x14ac:dyDescent="0.25">
      <c r="A16" s="6">
        <v>1</v>
      </c>
      <c r="B16" s="7">
        <v>2</v>
      </c>
      <c r="C16" s="6">
        <v>3</v>
      </c>
      <c r="D16" s="8" t="s">
        <v>18</v>
      </c>
      <c r="E16" s="8" t="s">
        <v>19</v>
      </c>
      <c r="F16" s="8" t="s">
        <v>20</v>
      </c>
      <c r="G16" s="8" t="s">
        <v>21</v>
      </c>
      <c r="H16" s="8" t="s">
        <v>1344</v>
      </c>
      <c r="I16" s="8" t="s">
        <v>1345</v>
      </c>
      <c r="J16" s="8" t="s">
        <v>23</v>
      </c>
      <c r="K16" s="8" t="s">
        <v>24</v>
      </c>
      <c r="L16" s="8" t="s">
        <v>25</v>
      </c>
      <c r="M16" s="8" t="s">
        <v>26</v>
      </c>
      <c r="N16" s="8" t="s">
        <v>150</v>
      </c>
      <c r="O16" s="8" t="s">
        <v>151</v>
      </c>
      <c r="P16" s="342" t="s">
        <v>856</v>
      </c>
      <c r="Q16" s="342" t="s">
        <v>858</v>
      </c>
      <c r="R16" s="343" t="s">
        <v>860</v>
      </c>
      <c r="S16" s="343" t="s">
        <v>862</v>
      </c>
      <c r="T16" s="8" t="s">
        <v>27</v>
      </c>
      <c r="U16" s="8" t="s">
        <v>28</v>
      </c>
      <c r="V16" s="8" t="s">
        <v>29</v>
      </c>
      <c r="W16" s="8" t="s">
        <v>30</v>
      </c>
    </row>
    <row r="17" spans="1:23" s="21" customFormat="1" x14ac:dyDescent="0.25">
      <c r="A17" s="18" t="s">
        <v>31</v>
      </c>
      <c r="B17" s="19" t="s">
        <v>32</v>
      </c>
      <c r="C17" s="26" t="str">
        <f>C18</f>
        <v>нд</v>
      </c>
      <c r="D17" s="26" t="str">
        <f t="shared" ref="D17:W17" si="0">D18</f>
        <v>нд</v>
      </c>
      <c r="E17" s="26" t="str">
        <f t="shared" si="0"/>
        <v>нд</v>
      </c>
      <c r="F17" s="26" t="str">
        <f t="shared" si="0"/>
        <v>нд</v>
      </c>
      <c r="G17" s="26" t="str">
        <f t="shared" si="0"/>
        <v>нд</v>
      </c>
      <c r="H17" s="26" t="str">
        <f t="shared" si="0"/>
        <v>нд</v>
      </c>
      <c r="I17" s="26" t="str">
        <f t="shared" si="0"/>
        <v>нд</v>
      </c>
      <c r="J17" s="26" t="str">
        <f t="shared" si="0"/>
        <v>нд</v>
      </c>
      <c r="K17" s="198" t="str">
        <f t="shared" si="0"/>
        <v>нд</v>
      </c>
      <c r="L17" s="26" t="str">
        <f t="shared" si="0"/>
        <v>нд</v>
      </c>
      <c r="M17" s="198" t="str">
        <f t="shared" si="0"/>
        <v>нд</v>
      </c>
      <c r="N17" s="26" t="str">
        <f t="shared" si="0"/>
        <v>нд</v>
      </c>
      <c r="O17" s="26" t="str">
        <f t="shared" si="0"/>
        <v>нд</v>
      </c>
      <c r="P17" s="350">
        <f>P18</f>
        <v>213</v>
      </c>
      <c r="Q17" s="350">
        <f>Q18</f>
        <v>213</v>
      </c>
      <c r="R17" s="26" t="s">
        <v>33</v>
      </c>
      <c r="S17" s="26" t="s">
        <v>33</v>
      </c>
      <c r="T17" s="26" t="str">
        <f t="shared" si="0"/>
        <v>нд</v>
      </c>
      <c r="U17" s="26" t="str">
        <f t="shared" si="0"/>
        <v>нд</v>
      </c>
      <c r="V17" s="26" t="str">
        <f t="shared" si="0"/>
        <v>нд</v>
      </c>
      <c r="W17" s="26" t="str">
        <f t="shared" si="0"/>
        <v>нд</v>
      </c>
    </row>
    <row r="18" spans="1:23" s="20" customFormat="1" x14ac:dyDescent="0.25">
      <c r="A18" s="16" t="s">
        <v>55</v>
      </c>
      <c r="B18" s="17" t="s">
        <v>34</v>
      </c>
      <c r="C18" s="27" t="str">
        <f>C19</f>
        <v>нд</v>
      </c>
      <c r="D18" s="27" t="str">
        <f t="shared" ref="D18:U18" si="1">D19</f>
        <v>нд</v>
      </c>
      <c r="E18" s="27" t="str">
        <f t="shared" si="1"/>
        <v>нд</v>
      </c>
      <c r="F18" s="27" t="str">
        <f t="shared" si="1"/>
        <v>нд</v>
      </c>
      <c r="G18" s="27" t="str">
        <f t="shared" si="1"/>
        <v>нд</v>
      </c>
      <c r="H18" s="27" t="str">
        <f t="shared" si="1"/>
        <v>нд</v>
      </c>
      <c r="I18" s="27" t="str">
        <f t="shared" si="1"/>
        <v>нд</v>
      </c>
      <c r="J18" s="27" t="str">
        <f t="shared" si="1"/>
        <v>нд</v>
      </c>
      <c r="K18" s="27" t="str">
        <f t="shared" si="1"/>
        <v>нд</v>
      </c>
      <c r="L18" s="27" t="str">
        <f t="shared" si="1"/>
        <v>нд</v>
      </c>
      <c r="M18" s="27" t="str">
        <f t="shared" si="1"/>
        <v>нд</v>
      </c>
      <c r="N18" s="27" t="str">
        <f t="shared" si="1"/>
        <v>нд</v>
      </c>
      <c r="O18" s="27" t="str">
        <f t="shared" si="1"/>
        <v>нд</v>
      </c>
      <c r="P18" s="351">
        <f>P19</f>
        <v>213</v>
      </c>
      <c r="Q18" s="351">
        <f>Q19</f>
        <v>213</v>
      </c>
      <c r="R18" s="27" t="s">
        <v>33</v>
      </c>
      <c r="S18" s="27" t="s">
        <v>33</v>
      </c>
      <c r="T18" s="27" t="str">
        <f t="shared" si="1"/>
        <v>нд</v>
      </c>
      <c r="U18" s="27" t="str">
        <f t="shared" si="1"/>
        <v>нд</v>
      </c>
      <c r="V18" s="27" t="str">
        <f>V19</f>
        <v>нд</v>
      </c>
      <c r="W18" s="27" t="str">
        <f>W19</f>
        <v>нд</v>
      </c>
    </row>
    <row r="19" spans="1:23" s="21" customFormat="1" ht="21.75" customHeight="1" x14ac:dyDescent="0.25">
      <c r="A19" s="18" t="s">
        <v>36</v>
      </c>
      <c r="B19" s="19" t="s">
        <v>37</v>
      </c>
      <c r="C19" s="26" t="s">
        <v>33</v>
      </c>
      <c r="D19" s="26" t="str">
        <f>D20</f>
        <v>нд</v>
      </c>
      <c r="E19" s="26" t="str">
        <f t="shared" ref="E19:W19" si="2">E20</f>
        <v>нд</v>
      </c>
      <c r="F19" s="26" t="str">
        <f t="shared" si="2"/>
        <v>нд</v>
      </c>
      <c r="G19" s="26" t="str">
        <f t="shared" si="2"/>
        <v>нд</v>
      </c>
      <c r="H19" s="26" t="str">
        <f t="shared" si="2"/>
        <v>нд</v>
      </c>
      <c r="I19" s="26" t="str">
        <f t="shared" si="2"/>
        <v>нд</v>
      </c>
      <c r="J19" s="26" t="str">
        <f t="shared" si="2"/>
        <v>нд</v>
      </c>
      <c r="K19" s="26" t="str">
        <f t="shared" si="2"/>
        <v>нд</v>
      </c>
      <c r="L19" s="26" t="str">
        <f t="shared" si="2"/>
        <v>нд</v>
      </c>
      <c r="M19" s="26" t="str">
        <f t="shared" si="2"/>
        <v>нд</v>
      </c>
      <c r="N19" s="26" t="str">
        <f t="shared" si="2"/>
        <v>нд</v>
      </c>
      <c r="O19" s="26" t="str">
        <f t="shared" si="2"/>
        <v>нд</v>
      </c>
      <c r="P19" s="350">
        <f>P23</f>
        <v>213</v>
      </c>
      <c r="Q19" s="350">
        <f>Q23</f>
        <v>213</v>
      </c>
      <c r="R19" s="26" t="str">
        <f t="shared" si="2"/>
        <v>нд</v>
      </c>
      <c r="S19" s="26" t="str">
        <f t="shared" si="2"/>
        <v>нд</v>
      </c>
      <c r="T19" s="26" t="str">
        <f t="shared" si="2"/>
        <v>нд</v>
      </c>
      <c r="U19" s="26" t="str">
        <f t="shared" si="2"/>
        <v>нд</v>
      </c>
      <c r="V19" s="26" t="str">
        <f t="shared" si="2"/>
        <v>нд</v>
      </c>
      <c r="W19" s="26" t="str">
        <f t="shared" si="2"/>
        <v>нд</v>
      </c>
    </row>
    <row r="20" spans="1:23" s="25" customFormat="1" ht="37.5" customHeight="1" x14ac:dyDescent="0.25">
      <c r="A20" s="23" t="s">
        <v>53</v>
      </c>
      <c r="B20" s="24" t="s">
        <v>54</v>
      </c>
      <c r="C20" s="28" t="s">
        <v>33</v>
      </c>
      <c r="D20" s="28" t="str">
        <f t="shared" ref="D20:W21" si="3">D21</f>
        <v>нд</v>
      </c>
      <c r="E20" s="28" t="str">
        <f t="shared" si="3"/>
        <v>нд</v>
      </c>
      <c r="F20" s="28" t="str">
        <f t="shared" si="3"/>
        <v>нд</v>
      </c>
      <c r="G20" s="28" t="str">
        <f t="shared" si="3"/>
        <v>нд</v>
      </c>
      <c r="H20" s="28" t="str">
        <f t="shared" si="3"/>
        <v>нд</v>
      </c>
      <c r="I20" s="28" t="str">
        <f t="shared" si="3"/>
        <v>нд</v>
      </c>
      <c r="J20" s="28" t="str">
        <f t="shared" si="3"/>
        <v>нд</v>
      </c>
      <c r="K20" s="28" t="str">
        <f t="shared" si="3"/>
        <v>нд</v>
      </c>
      <c r="L20" s="28" t="str">
        <f t="shared" si="3"/>
        <v>нд</v>
      </c>
      <c r="M20" s="28" t="str">
        <f t="shared" si="3"/>
        <v>нд</v>
      </c>
      <c r="N20" s="28" t="str">
        <f t="shared" si="3"/>
        <v>нд</v>
      </c>
      <c r="O20" s="28" t="str">
        <f t="shared" si="3"/>
        <v>нд</v>
      </c>
      <c r="P20" s="28" t="str">
        <f t="shared" si="3"/>
        <v>нд</v>
      </c>
      <c r="Q20" s="28" t="str">
        <f t="shared" si="3"/>
        <v>нд</v>
      </c>
      <c r="R20" s="28" t="str">
        <f t="shared" si="3"/>
        <v>нд</v>
      </c>
      <c r="S20" s="28" t="str">
        <f t="shared" si="3"/>
        <v>нд</v>
      </c>
      <c r="T20" s="28" t="str">
        <f t="shared" si="3"/>
        <v>нд</v>
      </c>
      <c r="U20" s="28" t="str">
        <f t="shared" si="3"/>
        <v>нд</v>
      </c>
      <c r="V20" s="28" t="str">
        <f t="shared" si="3"/>
        <v>нд</v>
      </c>
      <c r="W20" s="28" t="str">
        <f t="shared" si="3"/>
        <v>нд</v>
      </c>
    </row>
    <row r="21" spans="1:23" ht="19.5" customHeight="1" x14ac:dyDescent="0.25">
      <c r="A21" s="13" t="s">
        <v>38</v>
      </c>
      <c r="B21" s="15" t="s">
        <v>39</v>
      </c>
      <c r="C21" s="29" t="s">
        <v>33</v>
      </c>
      <c r="D21" s="29" t="str">
        <f>D22</f>
        <v>нд</v>
      </c>
      <c r="E21" s="29" t="str">
        <f t="shared" si="3"/>
        <v>нд</v>
      </c>
      <c r="F21" s="29" t="str">
        <f t="shared" si="3"/>
        <v>нд</v>
      </c>
      <c r="G21" s="29" t="str">
        <f t="shared" si="3"/>
        <v>нд</v>
      </c>
      <c r="H21" s="29" t="str">
        <f t="shared" si="3"/>
        <v>нд</v>
      </c>
      <c r="I21" s="29" t="str">
        <f t="shared" si="3"/>
        <v>нд</v>
      </c>
      <c r="J21" s="29" t="str">
        <f t="shared" si="3"/>
        <v>нд</v>
      </c>
      <c r="K21" s="29" t="str">
        <f t="shared" si="3"/>
        <v>нд</v>
      </c>
      <c r="L21" s="29" t="str">
        <f t="shared" si="3"/>
        <v>нд</v>
      </c>
      <c r="M21" s="29" t="str">
        <f t="shared" si="3"/>
        <v>нд</v>
      </c>
      <c r="N21" s="29" t="str">
        <f t="shared" si="3"/>
        <v>нд</v>
      </c>
      <c r="O21" s="29" t="str">
        <f t="shared" si="3"/>
        <v>нд</v>
      </c>
      <c r="P21" s="29" t="str">
        <f t="shared" si="3"/>
        <v>нд</v>
      </c>
      <c r="Q21" s="29" t="str">
        <f t="shared" si="3"/>
        <v>нд</v>
      </c>
      <c r="R21" s="29" t="str">
        <f t="shared" si="3"/>
        <v>нд</v>
      </c>
      <c r="S21" s="29" t="str">
        <f t="shared" si="3"/>
        <v>нд</v>
      </c>
      <c r="T21" s="29" t="str">
        <f t="shared" si="3"/>
        <v>нд</v>
      </c>
      <c r="U21" s="29" t="str">
        <f t="shared" si="3"/>
        <v>нд</v>
      </c>
      <c r="V21" s="29" t="str">
        <f t="shared" si="3"/>
        <v>нд</v>
      </c>
      <c r="W21" s="29" t="str">
        <f t="shared" si="3"/>
        <v>нд</v>
      </c>
    </row>
    <row r="22" spans="1:23" s="189" customFormat="1" x14ac:dyDescent="0.25">
      <c r="A22" s="200" t="s">
        <v>40</v>
      </c>
      <c r="B22" s="237" t="s">
        <v>649</v>
      </c>
      <c r="C22" s="201" t="s">
        <v>638</v>
      </c>
      <c r="D22" s="221" t="s">
        <v>33</v>
      </c>
      <c r="E22" s="221" t="s">
        <v>33</v>
      </c>
      <c r="F22" s="221" t="s">
        <v>33</v>
      </c>
      <c r="G22" s="221" t="s">
        <v>33</v>
      </c>
      <c r="H22" s="221" t="s">
        <v>33</v>
      </c>
      <c r="I22" s="221" t="s">
        <v>33</v>
      </c>
      <c r="J22" s="221" t="s">
        <v>33</v>
      </c>
      <c r="K22" s="221" t="s">
        <v>33</v>
      </c>
      <c r="L22" s="221" t="s">
        <v>33</v>
      </c>
      <c r="M22" s="221" t="s">
        <v>33</v>
      </c>
      <c r="N22" s="221" t="s">
        <v>33</v>
      </c>
      <c r="O22" s="221" t="s">
        <v>33</v>
      </c>
      <c r="P22" s="221" t="s">
        <v>33</v>
      </c>
      <c r="Q22" s="221" t="s">
        <v>33</v>
      </c>
      <c r="R22" s="221" t="s">
        <v>33</v>
      </c>
      <c r="S22" s="221" t="s">
        <v>33</v>
      </c>
      <c r="T22" s="221" t="s">
        <v>33</v>
      </c>
      <c r="U22" s="221" t="s">
        <v>33</v>
      </c>
      <c r="V22" s="221" t="s">
        <v>33</v>
      </c>
      <c r="W22" s="221" t="s">
        <v>33</v>
      </c>
    </row>
    <row r="23" spans="1:23" s="25" customFormat="1" ht="31.5" x14ac:dyDescent="0.25">
      <c r="A23" s="23" t="s">
        <v>68</v>
      </c>
      <c r="B23" s="24" t="s">
        <v>69</v>
      </c>
      <c r="C23" s="28" t="s">
        <v>33</v>
      </c>
      <c r="D23" s="28" t="str">
        <f t="shared" ref="D23:W24" si="4">D24</f>
        <v>нд</v>
      </c>
      <c r="E23" s="28" t="str">
        <f t="shared" si="4"/>
        <v>нд</v>
      </c>
      <c r="F23" s="28" t="str">
        <f t="shared" si="4"/>
        <v>нд</v>
      </c>
      <c r="G23" s="28" t="str">
        <f t="shared" si="4"/>
        <v>нд</v>
      </c>
      <c r="H23" s="28" t="str">
        <f t="shared" si="4"/>
        <v>нд</v>
      </c>
      <c r="I23" s="28" t="str">
        <f t="shared" si="4"/>
        <v>нд</v>
      </c>
      <c r="J23" s="28" t="str">
        <f t="shared" si="4"/>
        <v>нд</v>
      </c>
      <c r="K23" s="28" t="str">
        <f t="shared" si="4"/>
        <v>нд</v>
      </c>
      <c r="L23" s="28" t="str">
        <f t="shared" si="4"/>
        <v>нд</v>
      </c>
      <c r="M23" s="28" t="str">
        <f t="shared" si="4"/>
        <v>нд</v>
      </c>
      <c r="N23" s="28" t="str">
        <f t="shared" si="4"/>
        <v>нд</v>
      </c>
      <c r="O23" s="28" t="str">
        <f t="shared" si="4"/>
        <v>нд</v>
      </c>
      <c r="P23" s="349">
        <f>P24</f>
        <v>213</v>
      </c>
      <c r="Q23" s="349">
        <f>Q24</f>
        <v>213</v>
      </c>
      <c r="R23" s="28" t="s">
        <v>33</v>
      </c>
      <c r="S23" s="28" t="s">
        <v>33</v>
      </c>
      <c r="T23" s="28" t="str">
        <f t="shared" si="4"/>
        <v>нд</v>
      </c>
      <c r="U23" s="28" t="str">
        <f t="shared" si="4"/>
        <v>нд</v>
      </c>
      <c r="V23" s="28" t="str">
        <f t="shared" si="4"/>
        <v>нд</v>
      </c>
      <c r="W23" s="28" t="str">
        <f t="shared" si="4"/>
        <v>нд</v>
      </c>
    </row>
    <row r="24" spans="1:23" ht="20.25" customHeight="1" outlineLevel="1" x14ac:dyDescent="0.25">
      <c r="A24" s="13" t="s">
        <v>70</v>
      </c>
      <c r="B24" s="15" t="s">
        <v>71</v>
      </c>
      <c r="C24" s="29" t="s">
        <v>33</v>
      </c>
      <c r="D24" s="29" t="str">
        <f t="shared" si="4"/>
        <v>нд</v>
      </c>
      <c r="E24" s="29" t="str">
        <f t="shared" si="4"/>
        <v>нд</v>
      </c>
      <c r="F24" s="29" t="str">
        <f t="shared" si="4"/>
        <v>нд</v>
      </c>
      <c r="G24" s="29" t="str">
        <f t="shared" si="4"/>
        <v>нд</v>
      </c>
      <c r="H24" s="29" t="str">
        <f t="shared" si="4"/>
        <v>нд</v>
      </c>
      <c r="I24" s="29" t="str">
        <f t="shared" si="4"/>
        <v>нд</v>
      </c>
      <c r="J24" s="29" t="str">
        <f t="shared" si="4"/>
        <v>нд</v>
      </c>
      <c r="K24" s="29" t="str">
        <f t="shared" si="4"/>
        <v>нд</v>
      </c>
      <c r="L24" s="29" t="str">
        <f t="shared" si="4"/>
        <v>нд</v>
      </c>
      <c r="M24" s="29" t="str">
        <f t="shared" si="4"/>
        <v>нд</v>
      </c>
      <c r="N24" s="29" t="str">
        <f t="shared" si="4"/>
        <v>нд</v>
      </c>
      <c r="O24" s="29" t="str">
        <f t="shared" si="4"/>
        <v>нд</v>
      </c>
      <c r="P24" s="347">
        <f>P25</f>
        <v>213</v>
      </c>
      <c r="Q24" s="347">
        <f>Q25</f>
        <v>213</v>
      </c>
      <c r="R24" s="29" t="s">
        <v>33</v>
      </c>
      <c r="S24" s="29" t="s">
        <v>33</v>
      </c>
      <c r="T24" s="29" t="str">
        <f t="shared" si="4"/>
        <v>нд</v>
      </c>
      <c r="U24" s="29" t="str">
        <f t="shared" si="4"/>
        <v>нд</v>
      </c>
      <c r="V24" s="29" t="str">
        <f t="shared" si="4"/>
        <v>нд</v>
      </c>
      <c r="W24" s="29" t="str">
        <f t="shared" si="4"/>
        <v>нд</v>
      </c>
    </row>
    <row r="25" spans="1:23" outlineLevel="1" x14ac:dyDescent="0.25">
      <c r="A25" s="200" t="s">
        <v>616</v>
      </c>
      <c r="B25" s="210" t="s">
        <v>621</v>
      </c>
      <c r="C25" s="201" t="s">
        <v>645</v>
      </c>
      <c r="D25" s="221" t="s">
        <v>33</v>
      </c>
      <c r="E25" s="221" t="s">
        <v>33</v>
      </c>
      <c r="F25" s="221" t="s">
        <v>33</v>
      </c>
      <c r="G25" s="221" t="s">
        <v>33</v>
      </c>
      <c r="H25" s="221" t="s">
        <v>33</v>
      </c>
      <c r="I25" s="221" t="s">
        <v>33</v>
      </c>
      <c r="J25" s="221" t="s">
        <v>33</v>
      </c>
      <c r="K25" s="221" t="s">
        <v>33</v>
      </c>
      <c r="L25" s="221" t="s">
        <v>33</v>
      </c>
      <c r="M25" s="221" t="s">
        <v>33</v>
      </c>
      <c r="N25" s="221" t="s">
        <v>33</v>
      </c>
      <c r="O25" s="221" t="s">
        <v>33</v>
      </c>
      <c r="P25" s="348">
        <v>213</v>
      </c>
      <c r="Q25" s="348">
        <v>213</v>
      </c>
      <c r="R25" s="221" t="s">
        <v>33</v>
      </c>
      <c r="S25" s="221" t="s">
        <v>33</v>
      </c>
      <c r="T25" s="221" t="s">
        <v>33</v>
      </c>
      <c r="U25" s="221" t="s">
        <v>33</v>
      </c>
      <c r="V25" s="221" t="s">
        <v>33</v>
      </c>
      <c r="W25" s="221" t="s">
        <v>33</v>
      </c>
    </row>
    <row r="29" spans="1:23" s="1" customFormat="1" x14ac:dyDescent="0.25">
      <c r="B29" s="117" t="s">
        <v>52</v>
      </c>
      <c r="C29" s="12"/>
      <c r="D29" s="12"/>
      <c r="E29" s="12" t="s">
        <v>1325</v>
      </c>
      <c r="P29" s="344"/>
      <c r="Q29" s="344"/>
      <c r="R29" s="344"/>
      <c r="S29" s="344"/>
    </row>
  </sheetData>
  <mergeCells count="26">
    <mergeCell ref="B9:U9"/>
    <mergeCell ref="A10:W10"/>
    <mergeCell ref="A11:W11"/>
    <mergeCell ref="A12:A15"/>
    <mergeCell ref="B12:B15"/>
    <mergeCell ref="C12:C15"/>
    <mergeCell ref="D12:W12"/>
    <mergeCell ref="D13:I13"/>
    <mergeCell ref="J13:O13"/>
    <mergeCell ref="T13:W13"/>
    <mergeCell ref="P13:S13"/>
    <mergeCell ref="P14:Q14"/>
    <mergeCell ref="R14:S14"/>
    <mergeCell ref="D14:E14"/>
    <mergeCell ref="V14:W14"/>
    <mergeCell ref="F14:G14"/>
    <mergeCell ref="A1:W1"/>
    <mergeCell ref="A2:W2"/>
    <mergeCell ref="A4:W4"/>
    <mergeCell ref="A5:W5"/>
    <mergeCell ref="A7:W7"/>
    <mergeCell ref="H14:I14"/>
    <mergeCell ref="J14:K14"/>
    <mergeCell ref="L14:M14"/>
    <mergeCell ref="N14:O14"/>
    <mergeCell ref="T14:U14"/>
  </mergeCells>
  <pageMargins left="0.7" right="0.7" top="0.75" bottom="0.75" header="0.3" footer="0.3"/>
  <pageSetup paperSize="8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CG52"/>
  <sheetViews>
    <sheetView topLeftCell="A14" zoomScale="75" zoomScaleNormal="75" workbookViewId="0">
      <selection activeCell="Q32" sqref="Q32"/>
    </sheetView>
  </sheetViews>
  <sheetFormatPr defaultColWidth="8.85546875" defaultRowHeight="15.75" outlineLevelRow="1" outlineLevelCol="1" x14ac:dyDescent="0.25"/>
  <cols>
    <col min="1" max="1" width="10.7109375" style="457" customWidth="1"/>
    <col min="2" max="2" width="70.85546875" style="457" customWidth="1"/>
    <col min="3" max="3" width="11" style="457" customWidth="1" outlineLevel="1"/>
    <col min="4" max="4" width="6.7109375" style="457" customWidth="1" outlineLevel="1"/>
    <col min="5" max="5" width="9" style="475" customWidth="1" outlineLevel="1"/>
    <col min="6" max="6" width="7.7109375" style="475" customWidth="1" outlineLevel="1"/>
    <col min="7" max="7" width="9.85546875" style="457" customWidth="1" outlineLevel="1"/>
    <col min="8" max="8" width="12.140625" style="457" customWidth="1" outlineLevel="1"/>
    <col min="9" max="9" width="16.140625" style="457" customWidth="1" outlineLevel="1"/>
    <col min="10" max="10" width="16" style="476" customWidth="1" outlineLevel="1"/>
    <col min="11" max="11" width="11" style="457" customWidth="1" outlineLevel="1"/>
    <col min="12" max="12" width="15.5703125" style="457" customWidth="1" outlineLevel="1"/>
    <col min="13" max="13" width="15.85546875" style="476" customWidth="1" outlineLevel="1"/>
    <col min="14" max="14" width="8.140625" style="457" customWidth="1" outlineLevel="1"/>
    <col min="15" max="15" width="15.42578125" style="457" customWidth="1" outlineLevel="1"/>
    <col min="16" max="16" width="13.5703125" style="457" customWidth="1" outlineLevel="1"/>
    <col min="17" max="17" width="13.42578125" style="457" customWidth="1" outlineLevel="1"/>
    <col min="18" max="18" width="13.140625" style="457" customWidth="1" outlineLevel="1"/>
    <col min="19" max="19" width="13.5703125" style="457" customWidth="1" outlineLevel="1"/>
    <col min="20" max="20" width="11.85546875" style="457" customWidth="1" outlineLevel="1"/>
    <col min="21" max="21" width="13.140625" style="457" customWidth="1" outlineLevel="1"/>
    <col min="22" max="23" width="8.42578125" style="457" customWidth="1" outlineLevel="1"/>
    <col min="24" max="24" width="10.140625" style="457" customWidth="1" outlineLevel="1"/>
    <col min="25" max="25" width="11" style="457" customWidth="1" outlineLevel="1"/>
    <col min="26" max="27" width="8.42578125" style="457" customWidth="1" outlineLevel="1"/>
    <col min="28" max="28" width="11" style="457" customWidth="1" outlineLevel="1"/>
    <col min="29" max="29" width="11.42578125" style="457" customWidth="1" outlineLevel="1"/>
    <col min="30" max="30" width="10.85546875" style="457" customWidth="1" outlineLevel="1"/>
    <col min="31" max="32" width="8.42578125" style="457" customWidth="1" outlineLevel="1"/>
    <col min="33" max="33" width="13" style="457" customWidth="1" outlineLevel="1"/>
    <col min="34" max="34" width="10.85546875" style="457" customWidth="1" outlineLevel="1"/>
    <col min="35" max="35" width="11" style="457" customWidth="1" outlineLevel="1"/>
    <col min="36" max="36" width="8.42578125" style="457" customWidth="1" outlineLevel="1"/>
    <col min="37" max="37" width="10.28515625" style="457" customWidth="1" outlineLevel="1"/>
    <col min="38" max="38" width="14.28515625" style="457" customWidth="1" outlineLevel="1"/>
    <col min="39" max="39" width="10.85546875" style="457" customWidth="1" outlineLevel="1"/>
    <col min="40" max="40" width="11.5703125" style="457" customWidth="1" outlineLevel="1"/>
    <col min="41" max="42" width="8.42578125" style="457" customWidth="1" outlineLevel="1"/>
    <col min="43" max="43" width="13" style="457" customWidth="1" outlineLevel="1"/>
    <col min="44" max="44" width="10" style="457" customWidth="1" outlineLevel="1"/>
    <col min="45" max="45" width="12" style="457" customWidth="1" outlineLevel="1"/>
    <col min="46" max="47" width="8.42578125" style="457" customWidth="1" outlineLevel="1"/>
    <col min="48" max="48" width="12.85546875" style="457" customWidth="1" outlineLevel="1"/>
    <col min="49" max="49" width="9.7109375" style="457" customWidth="1" outlineLevel="1"/>
    <col min="50" max="50" width="11.85546875" style="457" customWidth="1" outlineLevel="1"/>
    <col min="51" max="52" width="8.42578125" style="457" customWidth="1" outlineLevel="1"/>
    <col min="53" max="53" width="12.42578125" style="457" customWidth="1" outlineLevel="1"/>
    <col min="54" max="54" width="9.7109375" style="457" customWidth="1" outlineLevel="1"/>
    <col min="55" max="55" width="11" style="457" customWidth="1" outlineLevel="1"/>
    <col min="56" max="56" width="8.42578125" style="457" customWidth="1" outlineLevel="1"/>
    <col min="57" max="57" width="10" style="457" customWidth="1" outlineLevel="1"/>
    <col min="58" max="58" width="14.28515625" style="457" customWidth="1" outlineLevel="1"/>
    <col min="59" max="59" width="10.42578125" style="457" customWidth="1" outlineLevel="1"/>
    <col min="60" max="60" width="11.85546875" style="457" customWidth="1" outlineLevel="1"/>
    <col min="61" max="61" width="8.42578125" style="457" customWidth="1" outlineLevel="1"/>
    <col min="62" max="62" width="9.7109375" style="457" customWidth="1" outlineLevel="1"/>
    <col min="63" max="63" width="15.5703125" style="457" customWidth="1" outlineLevel="1"/>
    <col min="64" max="64" width="10.42578125" style="457" customWidth="1" outlineLevel="1"/>
    <col min="65" max="65" width="10.85546875" style="457" customWidth="1" outlineLevel="1"/>
    <col min="66" max="66" width="8.42578125" style="457" customWidth="1" outlineLevel="1"/>
    <col min="67" max="67" width="10.7109375" style="457" customWidth="1" outlineLevel="1"/>
    <col min="68" max="68" width="15.42578125" style="457" customWidth="1" outlineLevel="1"/>
    <col min="69" max="69" width="9.7109375" style="457" customWidth="1" outlineLevel="1"/>
    <col min="70" max="70" width="11.85546875" style="457" customWidth="1" outlineLevel="1"/>
    <col min="71" max="71" width="8.42578125" style="457" customWidth="1" outlineLevel="1"/>
    <col min="72" max="72" width="10.140625" style="457" customWidth="1" outlineLevel="1"/>
    <col min="73" max="73" width="15.5703125" style="457" customWidth="1" outlineLevel="1"/>
    <col min="74" max="74" width="9.7109375" style="457" customWidth="1" outlineLevel="1"/>
    <col min="75" max="75" width="12.5703125" style="457" customWidth="1"/>
    <col min="76" max="76" width="8.42578125" style="457" bestFit="1" customWidth="1"/>
    <col min="77" max="77" width="11" style="457" customWidth="1"/>
    <col min="78" max="78" width="12.140625" style="457" customWidth="1"/>
    <col min="79" max="79" width="10.85546875" style="457" customWidth="1"/>
    <col min="80" max="80" width="11.7109375" style="457" customWidth="1"/>
    <col min="81" max="81" width="8.42578125" style="457" bestFit="1" customWidth="1"/>
    <col min="82" max="82" width="9.85546875" style="457" customWidth="1"/>
    <col min="83" max="83" width="13.42578125" style="457" customWidth="1"/>
    <col min="84" max="84" width="11.7109375" style="457" customWidth="1"/>
    <col min="85" max="85" width="22.5703125" style="457" customWidth="1"/>
    <col min="86" max="16384" width="8.85546875" style="457"/>
  </cols>
  <sheetData>
    <row r="1" spans="1:85" x14ac:dyDescent="0.25">
      <c r="A1" s="634" t="s">
        <v>74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</row>
    <row r="2" spans="1:85" x14ac:dyDescent="0.25">
      <c r="A2" s="635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</row>
    <row r="3" spans="1:85" x14ac:dyDescent="0.25">
      <c r="A3" s="610" t="s">
        <v>145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</row>
    <row r="4" spans="1:85" x14ac:dyDescent="0.25">
      <c r="A4" s="605" t="s">
        <v>76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</row>
    <row r="5" spans="1:85" x14ac:dyDescent="0.25">
      <c r="A5" s="600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</row>
    <row r="6" spans="1:85" x14ac:dyDescent="0.25">
      <c r="A6" s="600" t="s">
        <v>1354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</row>
    <row r="7" spans="1:85" x14ac:dyDescent="0.25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</row>
    <row r="8" spans="1:85" x14ac:dyDescent="0.25">
      <c r="A8" s="52"/>
      <c r="B8" s="610" t="s">
        <v>1346</v>
      </c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52"/>
      <c r="W8" s="52"/>
      <c r="X8" s="52"/>
    </row>
    <row r="9" spans="1:85" ht="15.75" customHeight="1" x14ac:dyDescent="0.25">
      <c r="A9" s="600" t="s">
        <v>77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  <c r="U9" s="600"/>
      <c r="V9" s="600"/>
      <c r="W9" s="600"/>
      <c r="X9" s="600"/>
    </row>
    <row r="10" spans="1:85" ht="15.75" customHeight="1" x14ac:dyDescent="0.25">
      <c r="A10" s="30"/>
      <c r="B10" s="398"/>
      <c r="C10" s="30"/>
      <c r="D10" s="30"/>
      <c r="E10" s="32"/>
      <c r="F10" s="32"/>
      <c r="G10" s="30"/>
      <c r="H10" s="30"/>
      <c r="I10" s="30"/>
      <c r="J10" s="34"/>
      <c r="K10" s="30"/>
      <c r="L10" s="30"/>
      <c r="M10" s="34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85" ht="92.25" customHeight="1" x14ac:dyDescent="0.25">
      <c r="A11" s="620" t="s">
        <v>3</v>
      </c>
      <c r="B11" s="620" t="s">
        <v>4</v>
      </c>
      <c r="C11" s="620" t="s">
        <v>350</v>
      </c>
      <c r="D11" s="621" t="s">
        <v>78</v>
      </c>
      <c r="E11" s="621" t="s">
        <v>79</v>
      </c>
      <c r="F11" s="620" t="s">
        <v>80</v>
      </c>
      <c r="G11" s="620"/>
      <c r="H11" s="620" t="s">
        <v>81</v>
      </c>
      <c r="I11" s="620"/>
      <c r="J11" s="620"/>
      <c r="K11" s="620"/>
      <c r="L11" s="620"/>
      <c r="M11" s="620"/>
      <c r="N11" s="621" t="s">
        <v>82</v>
      </c>
      <c r="O11" s="624" t="s">
        <v>83</v>
      </c>
      <c r="P11" s="620" t="s">
        <v>84</v>
      </c>
      <c r="Q11" s="620"/>
      <c r="R11" s="620"/>
      <c r="S11" s="620"/>
      <c r="T11" s="620" t="s">
        <v>85</v>
      </c>
      <c r="U11" s="620"/>
      <c r="V11" s="627" t="s">
        <v>86</v>
      </c>
      <c r="W11" s="628"/>
      <c r="X11" s="629"/>
      <c r="Y11" s="617" t="s">
        <v>132</v>
      </c>
      <c r="Z11" s="618"/>
      <c r="AA11" s="618"/>
      <c r="AB11" s="618"/>
      <c r="AC11" s="618"/>
      <c r="AD11" s="618"/>
      <c r="AE11" s="618"/>
      <c r="AF11" s="618"/>
      <c r="AG11" s="618"/>
      <c r="AH11" s="618"/>
      <c r="AI11" s="618"/>
      <c r="AJ11" s="618"/>
      <c r="AK11" s="618"/>
      <c r="AL11" s="618"/>
      <c r="AM11" s="618"/>
      <c r="AN11" s="618"/>
      <c r="AO11" s="618"/>
      <c r="AP11" s="618"/>
      <c r="AQ11" s="618"/>
      <c r="AR11" s="618"/>
      <c r="AS11" s="618"/>
      <c r="AT11" s="618"/>
      <c r="AU11" s="618"/>
      <c r="AV11" s="618"/>
      <c r="AW11" s="618"/>
      <c r="AX11" s="618"/>
      <c r="AY11" s="618"/>
      <c r="AZ11" s="618"/>
      <c r="BA11" s="618"/>
      <c r="BB11" s="618"/>
      <c r="BC11" s="618"/>
      <c r="BD11" s="618"/>
      <c r="BE11" s="618"/>
      <c r="BF11" s="618"/>
      <c r="BG11" s="618"/>
      <c r="BH11" s="618"/>
      <c r="BI11" s="618"/>
      <c r="BJ11" s="618"/>
      <c r="BK11" s="618"/>
      <c r="BL11" s="618"/>
      <c r="BM11" s="618"/>
      <c r="BN11" s="618"/>
      <c r="BO11" s="618"/>
      <c r="BP11" s="618"/>
      <c r="BQ11" s="618"/>
      <c r="BR11" s="618"/>
      <c r="BS11" s="618"/>
      <c r="BT11" s="618"/>
      <c r="BU11" s="618"/>
      <c r="BV11" s="618"/>
      <c r="BW11" s="618"/>
      <c r="BX11" s="618"/>
      <c r="BY11" s="618"/>
      <c r="BZ11" s="618"/>
      <c r="CA11" s="618"/>
      <c r="CB11" s="618"/>
      <c r="CC11" s="618"/>
      <c r="CD11" s="618"/>
      <c r="CE11" s="618"/>
      <c r="CF11" s="619"/>
      <c r="CG11" s="624" t="s">
        <v>133</v>
      </c>
    </row>
    <row r="12" spans="1:85" ht="66.75" customHeight="1" x14ac:dyDescent="0.25">
      <c r="A12" s="620"/>
      <c r="B12" s="620"/>
      <c r="C12" s="620"/>
      <c r="D12" s="622"/>
      <c r="E12" s="622"/>
      <c r="F12" s="620"/>
      <c r="G12" s="620"/>
      <c r="H12" s="617" t="s">
        <v>470</v>
      </c>
      <c r="I12" s="618"/>
      <c r="J12" s="619"/>
      <c r="K12" s="630" t="s">
        <v>87</v>
      </c>
      <c r="L12" s="631"/>
      <c r="M12" s="632"/>
      <c r="N12" s="622"/>
      <c r="O12" s="625"/>
      <c r="P12" s="620" t="s">
        <v>470</v>
      </c>
      <c r="Q12" s="620"/>
      <c r="R12" s="620" t="s">
        <v>87</v>
      </c>
      <c r="S12" s="620"/>
      <c r="T12" s="620"/>
      <c r="U12" s="620"/>
      <c r="V12" s="630"/>
      <c r="W12" s="631"/>
      <c r="X12" s="632"/>
      <c r="Y12" s="617" t="s">
        <v>585</v>
      </c>
      <c r="Z12" s="618"/>
      <c r="AA12" s="618"/>
      <c r="AB12" s="618"/>
      <c r="AC12" s="619"/>
      <c r="AD12" s="617" t="s">
        <v>586</v>
      </c>
      <c r="AE12" s="618"/>
      <c r="AF12" s="618"/>
      <c r="AG12" s="618"/>
      <c r="AH12" s="619"/>
      <c r="AI12" s="617" t="s">
        <v>587</v>
      </c>
      <c r="AJ12" s="618"/>
      <c r="AK12" s="618"/>
      <c r="AL12" s="618"/>
      <c r="AM12" s="619"/>
      <c r="AN12" s="617" t="s">
        <v>588</v>
      </c>
      <c r="AO12" s="618"/>
      <c r="AP12" s="618"/>
      <c r="AQ12" s="618"/>
      <c r="AR12" s="619"/>
      <c r="AS12" s="617" t="s">
        <v>589</v>
      </c>
      <c r="AT12" s="618"/>
      <c r="AU12" s="618"/>
      <c r="AV12" s="618"/>
      <c r="AW12" s="619"/>
      <c r="AX12" s="617" t="s">
        <v>590</v>
      </c>
      <c r="AY12" s="618"/>
      <c r="AZ12" s="618"/>
      <c r="BA12" s="618"/>
      <c r="BB12" s="619"/>
      <c r="BC12" s="617" t="s">
        <v>591</v>
      </c>
      <c r="BD12" s="618"/>
      <c r="BE12" s="618"/>
      <c r="BF12" s="618"/>
      <c r="BG12" s="619"/>
      <c r="BH12" s="617" t="s">
        <v>592</v>
      </c>
      <c r="BI12" s="618"/>
      <c r="BJ12" s="618"/>
      <c r="BK12" s="618"/>
      <c r="BL12" s="619"/>
      <c r="BM12" s="617" t="s">
        <v>593</v>
      </c>
      <c r="BN12" s="618"/>
      <c r="BO12" s="618"/>
      <c r="BP12" s="618"/>
      <c r="BQ12" s="619"/>
      <c r="BR12" s="617" t="s">
        <v>594</v>
      </c>
      <c r="BS12" s="618"/>
      <c r="BT12" s="618"/>
      <c r="BU12" s="618"/>
      <c r="BV12" s="619"/>
      <c r="BW12" s="617" t="s">
        <v>471</v>
      </c>
      <c r="BX12" s="618"/>
      <c r="BY12" s="618"/>
      <c r="BZ12" s="618"/>
      <c r="CA12" s="619"/>
      <c r="CB12" s="617" t="s">
        <v>135</v>
      </c>
      <c r="CC12" s="618"/>
      <c r="CD12" s="618"/>
      <c r="CE12" s="618"/>
      <c r="CF12" s="619"/>
      <c r="CG12" s="625"/>
    </row>
    <row r="13" spans="1:85" ht="162" customHeight="1" x14ac:dyDescent="0.25">
      <c r="A13" s="620"/>
      <c r="B13" s="620"/>
      <c r="C13" s="620"/>
      <c r="D13" s="623"/>
      <c r="E13" s="623"/>
      <c r="F13" s="416" t="s">
        <v>469</v>
      </c>
      <c r="G13" s="31" t="s">
        <v>87</v>
      </c>
      <c r="H13" s="414" t="s">
        <v>88</v>
      </c>
      <c r="I13" s="414" t="s">
        <v>89</v>
      </c>
      <c r="J13" s="414" t="s">
        <v>90</v>
      </c>
      <c r="K13" s="414" t="s">
        <v>88</v>
      </c>
      <c r="L13" s="414" t="s">
        <v>89</v>
      </c>
      <c r="M13" s="414" t="s">
        <v>90</v>
      </c>
      <c r="N13" s="623"/>
      <c r="O13" s="626"/>
      <c r="P13" s="420" t="s">
        <v>91</v>
      </c>
      <c r="Q13" s="420" t="s">
        <v>92</v>
      </c>
      <c r="R13" s="420" t="s">
        <v>93</v>
      </c>
      <c r="S13" s="420" t="s">
        <v>92</v>
      </c>
      <c r="T13" s="415" t="s">
        <v>470</v>
      </c>
      <c r="U13" s="415" t="s">
        <v>87</v>
      </c>
      <c r="V13" s="420" t="s">
        <v>94</v>
      </c>
      <c r="W13" s="420" t="s">
        <v>95</v>
      </c>
      <c r="X13" s="420" t="s">
        <v>96</v>
      </c>
      <c r="Y13" s="420" t="s">
        <v>136</v>
      </c>
      <c r="Z13" s="420" t="s">
        <v>137</v>
      </c>
      <c r="AA13" s="420" t="s">
        <v>1311</v>
      </c>
      <c r="AB13" s="415" t="s">
        <v>138</v>
      </c>
      <c r="AC13" s="415" t="s">
        <v>139</v>
      </c>
      <c r="AD13" s="420" t="s">
        <v>136</v>
      </c>
      <c r="AE13" s="420" t="s">
        <v>137</v>
      </c>
      <c r="AF13" s="420" t="s">
        <v>1311</v>
      </c>
      <c r="AG13" s="415" t="s">
        <v>138</v>
      </c>
      <c r="AH13" s="415" t="s">
        <v>139</v>
      </c>
      <c r="AI13" s="420" t="s">
        <v>136</v>
      </c>
      <c r="AJ13" s="420" t="s">
        <v>137</v>
      </c>
      <c r="AK13" s="420" t="s">
        <v>1311</v>
      </c>
      <c r="AL13" s="415" t="s">
        <v>138</v>
      </c>
      <c r="AM13" s="415" t="s">
        <v>139</v>
      </c>
      <c r="AN13" s="420" t="s">
        <v>136</v>
      </c>
      <c r="AO13" s="420" t="s">
        <v>137</v>
      </c>
      <c r="AP13" s="420" t="s">
        <v>1311</v>
      </c>
      <c r="AQ13" s="415" t="s">
        <v>138</v>
      </c>
      <c r="AR13" s="415" t="s">
        <v>139</v>
      </c>
      <c r="AS13" s="420" t="s">
        <v>136</v>
      </c>
      <c r="AT13" s="420" t="s">
        <v>137</v>
      </c>
      <c r="AU13" s="420" t="s">
        <v>1311</v>
      </c>
      <c r="AV13" s="415" t="s">
        <v>138</v>
      </c>
      <c r="AW13" s="415" t="s">
        <v>139</v>
      </c>
      <c r="AX13" s="420" t="s">
        <v>136</v>
      </c>
      <c r="AY13" s="420" t="s">
        <v>137</v>
      </c>
      <c r="AZ13" s="420" t="s">
        <v>1311</v>
      </c>
      <c r="BA13" s="415" t="s">
        <v>138</v>
      </c>
      <c r="BB13" s="415" t="s">
        <v>139</v>
      </c>
      <c r="BC13" s="420" t="s">
        <v>136</v>
      </c>
      <c r="BD13" s="420" t="s">
        <v>137</v>
      </c>
      <c r="BE13" s="420" t="s">
        <v>1311</v>
      </c>
      <c r="BF13" s="415" t="s">
        <v>138</v>
      </c>
      <c r="BG13" s="415" t="s">
        <v>139</v>
      </c>
      <c r="BH13" s="420" t="s">
        <v>136</v>
      </c>
      <c r="BI13" s="420" t="s">
        <v>137</v>
      </c>
      <c r="BJ13" s="420" t="s">
        <v>1311</v>
      </c>
      <c r="BK13" s="415" t="s">
        <v>138</v>
      </c>
      <c r="BL13" s="415" t="s">
        <v>139</v>
      </c>
      <c r="BM13" s="420" t="s">
        <v>136</v>
      </c>
      <c r="BN13" s="420" t="s">
        <v>137</v>
      </c>
      <c r="BO13" s="420" t="s">
        <v>1311</v>
      </c>
      <c r="BP13" s="415" t="s">
        <v>138</v>
      </c>
      <c r="BQ13" s="415" t="s">
        <v>139</v>
      </c>
      <c r="BR13" s="420" t="s">
        <v>136</v>
      </c>
      <c r="BS13" s="420" t="s">
        <v>137</v>
      </c>
      <c r="BT13" s="420" t="s">
        <v>1311</v>
      </c>
      <c r="BU13" s="415" t="s">
        <v>138</v>
      </c>
      <c r="BV13" s="427" t="s">
        <v>139</v>
      </c>
      <c r="BW13" s="420" t="s">
        <v>136</v>
      </c>
      <c r="BX13" s="420" t="s">
        <v>137</v>
      </c>
      <c r="BY13" s="420" t="s">
        <v>1311</v>
      </c>
      <c r="BZ13" s="415" t="s">
        <v>138</v>
      </c>
      <c r="CA13" s="415" t="s">
        <v>139</v>
      </c>
      <c r="CB13" s="420" t="s">
        <v>136</v>
      </c>
      <c r="CC13" s="420" t="s">
        <v>137</v>
      </c>
      <c r="CD13" s="420" t="s">
        <v>1311</v>
      </c>
      <c r="CE13" s="415" t="s">
        <v>138</v>
      </c>
      <c r="CF13" s="427" t="s">
        <v>139</v>
      </c>
      <c r="CG13" s="626"/>
    </row>
    <row r="14" spans="1:85" s="30" customFormat="1" x14ac:dyDescent="0.25">
      <c r="A14" s="414">
        <v>1</v>
      </c>
      <c r="B14" s="414">
        <v>2</v>
      </c>
      <c r="C14" s="414">
        <v>3</v>
      </c>
      <c r="D14" s="414">
        <v>4</v>
      </c>
      <c r="E14" s="414">
        <v>5</v>
      </c>
      <c r="F14" s="414">
        <v>6</v>
      </c>
      <c r="G14" s="414">
        <v>7</v>
      </c>
      <c r="H14" s="414">
        <v>8</v>
      </c>
      <c r="I14" s="414">
        <v>9</v>
      </c>
      <c r="J14" s="414">
        <v>10</v>
      </c>
      <c r="K14" s="414">
        <v>11</v>
      </c>
      <c r="L14" s="414">
        <v>12</v>
      </c>
      <c r="M14" s="414">
        <v>13</v>
      </c>
      <c r="N14" s="414">
        <v>14</v>
      </c>
      <c r="O14" s="414">
        <v>15</v>
      </c>
      <c r="P14" s="414">
        <v>16</v>
      </c>
      <c r="Q14" s="414">
        <v>17</v>
      </c>
      <c r="R14" s="414">
        <v>18</v>
      </c>
      <c r="S14" s="414">
        <v>19</v>
      </c>
      <c r="T14" s="414">
        <v>20</v>
      </c>
      <c r="U14" s="414">
        <v>21</v>
      </c>
      <c r="V14" s="414">
        <v>22</v>
      </c>
      <c r="W14" s="414">
        <v>23</v>
      </c>
      <c r="X14" s="414">
        <v>24</v>
      </c>
      <c r="Y14" s="36" t="s">
        <v>595</v>
      </c>
      <c r="Z14" s="36" t="s">
        <v>596</v>
      </c>
      <c r="AA14" s="36" t="s">
        <v>597</v>
      </c>
      <c r="AB14" s="36" t="s">
        <v>598</v>
      </c>
      <c r="AC14" s="36" t="s">
        <v>599</v>
      </c>
      <c r="AD14" s="36" t="s">
        <v>600</v>
      </c>
      <c r="AE14" s="36" t="s">
        <v>601</v>
      </c>
      <c r="AF14" s="36" t="s">
        <v>602</v>
      </c>
      <c r="AG14" s="36" t="s">
        <v>603</v>
      </c>
      <c r="AH14" s="36" t="s">
        <v>604</v>
      </c>
      <c r="AI14" s="36" t="s">
        <v>102</v>
      </c>
      <c r="AJ14" s="36" t="s">
        <v>103</v>
      </c>
      <c r="AK14" s="36" t="s">
        <v>104</v>
      </c>
      <c r="AL14" s="36" t="s">
        <v>105</v>
      </c>
      <c r="AM14" s="36" t="s">
        <v>106</v>
      </c>
      <c r="AN14" s="36" t="s">
        <v>107</v>
      </c>
      <c r="AO14" s="36" t="s">
        <v>108</v>
      </c>
      <c r="AP14" s="36" t="s">
        <v>109</v>
      </c>
      <c r="AQ14" s="36" t="s">
        <v>110</v>
      </c>
      <c r="AR14" s="36" t="s">
        <v>111</v>
      </c>
      <c r="AS14" s="36" t="s">
        <v>112</v>
      </c>
      <c r="AT14" s="36" t="s">
        <v>113</v>
      </c>
      <c r="AU14" s="36" t="s">
        <v>114</v>
      </c>
      <c r="AV14" s="36" t="s">
        <v>115</v>
      </c>
      <c r="AW14" s="36" t="s">
        <v>116</v>
      </c>
      <c r="AX14" s="36" t="s">
        <v>117</v>
      </c>
      <c r="AY14" s="36" t="s">
        <v>118</v>
      </c>
      <c r="AZ14" s="36" t="s">
        <v>119</v>
      </c>
      <c r="BA14" s="36" t="s">
        <v>120</v>
      </c>
      <c r="BB14" s="36" t="s">
        <v>121</v>
      </c>
      <c r="BC14" s="36" t="s">
        <v>122</v>
      </c>
      <c r="BD14" s="36" t="s">
        <v>123</v>
      </c>
      <c r="BE14" s="36" t="s">
        <v>124</v>
      </c>
      <c r="BF14" s="36" t="s">
        <v>125</v>
      </c>
      <c r="BG14" s="36" t="s">
        <v>126</v>
      </c>
      <c r="BH14" s="36" t="s">
        <v>127</v>
      </c>
      <c r="BI14" s="36" t="s">
        <v>128</v>
      </c>
      <c r="BJ14" s="36" t="s">
        <v>129</v>
      </c>
      <c r="BK14" s="36" t="s">
        <v>130</v>
      </c>
      <c r="BL14" s="36" t="s">
        <v>131</v>
      </c>
      <c r="BM14" s="36" t="s">
        <v>605</v>
      </c>
      <c r="BN14" s="36" t="s">
        <v>606</v>
      </c>
      <c r="BO14" s="36" t="s">
        <v>607</v>
      </c>
      <c r="BP14" s="36" t="s">
        <v>608</v>
      </c>
      <c r="BQ14" s="36" t="s">
        <v>609</v>
      </c>
      <c r="BR14" s="36" t="s">
        <v>610</v>
      </c>
      <c r="BS14" s="36" t="s">
        <v>611</v>
      </c>
      <c r="BT14" s="36" t="s">
        <v>612</v>
      </c>
      <c r="BU14" s="36" t="s">
        <v>613</v>
      </c>
      <c r="BV14" s="36" t="s">
        <v>614</v>
      </c>
      <c r="BW14" s="414">
        <v>33</v>
      </c>
      <c r="BX14" s="414">
        <v>34</v>
      </c>
      <c r="BY14" s="414">
        <v>35</v>
      </c>
      <c r="BZ14" s="414">
        <v>36</v>
      </c>
      <c r="CA14" s="414">
        <v>37</v>
      </c>
      <c r="CB14" s="414">
        <v>38</v>
      </c>
      <c r="CC14" s="414">
        <v>39</v>
      </c>
      <c r="CD14" s="414">
        <v>40</v>
      </c>
      <c r="CE14" s="414">
        <v>41</v>
      </c>
      <c r="CF14" s="414">
        <v>42</v>
      </c>
      <c r="CG14" s="414">
        <v>43</v>
      </c>
    </row>
    <row r="15" spans="1:85" s="459" customFormat="1" x14ac:dyDescent="0.25">
      <c r="A15" s="18" t="s">
        <v>31</v>
      </c>
      <c r="B15" s="38" t="s">
        <v>32</v>
      </c>
      <c r="C15" s="436" t="str">
        <f>C16</f>
        <v>нд</v>
      </c>
      <c r="D15" s="436" t="str">
        <f t="shared" ref="D15:G15" si="0">D16</f>
        <v>нд</v>
      </c>
      <c r="E15" s="436" t="str">
        <f t="shared" si="0"/>
        <v>нд</v>
      </c>
      <c r="F15" s="436" t="str">
        <f t="shared" si="0"/>
        <v>нд</v>
      </c>
      <c r="G15" s="436" t="str">
        <f t="shared" si="0"/>
        <v>нд</v>
      </c>
      <c r="H15" s="436">
        <f>H16</f>
        <v>68.744070863333334</v>
      </c>
      <c r="I15" s="436">
        <f t="shared" ref="I15:BS15" si="1">I16</f>
        <v>68.744070863333334</v>
      </c>
      <c r="J15" s="436" t="str">
        <f t="shared" si="1"/>
        <v>нд</v>
      </c>
      <c r="K15" s="458">
        <f t="shared" si="1"/>
        <v>78.984671394000003</v>
      </c>
      <c r="L15" s="436">
        <f t="shared" si="1"/>
        <v>78.984671394000003</v>
      </c>
      <c r="M15" s="436" t="str">
        <f t="shared" si="1"/>
        <v>нд</v>
      </c>
      <c r="N15" s="436" t="str">
        <f t="shared" si="1"/>
        <v>нд</v>
      </c>
      <c r="O15" s="436" t="str">
        <f t="shared" si="1"/>
        <v>нд</v>
      </c>
      <c r="P15" s="436">
        <f t="shared" si="1"/>
        <v>68.744070863333334</v>
      </c>
      <c r="Q15" s="436">
        <f t="shared" si="1"/>
        <v>78.596111325616448</v>
      </c>
      <c r="R15" s="436">
        <f t="shared" si="1"/>
        <v>78.984671394000003</v>
      </c>
      <c r="S15" s="436">
        <f t="shared" si="1"/>
        <v>87.027780051064866</v>
      </c>
      <c r="T15" s="436">
        <f t="shared" si="1"/>
        <v>78.596111325616448</v>
      </c>
      <c r="U15" s="436">
        <f t="shared" si="1"/>
        <v>87.027780051064866</v>
      </c>
      <c r="V15" s="436" t="str">
        <f t="shared" si="1"/>
        <v>нд</v>
      </c>
      <c r="W15" s="436" t="str">
        <f t="shared" si="1"/>
        <v>нд</v>
      </c>
      <c r="X15" s="436" t="str">
        <f t="shared" si="1"/>
        <v>нд</v>
      </c>
      <c r="Y15" s="436">
        <f t="shared" si="1"/>
        <v>9.6665412620000009</v>
      </c>
      <c r="Z15" s="436" t="str">
        <f t="shared" si="1"/>
        <v>нд</v>
      </c>
      <c r="AA15" s="436" t="str">
        <f t="shared" si="1"/>
        <v>нд</v>
      </c>
      <c r="AB15" s="436">
        <f t="shared" si="1"/>
        <v>8.1010000000000009</v>
      </c>
      <c r="AC15" s="436">
        <f t="shared" si="1"/>
        <v>1.565541262</v>
      </c>
      <c r="AD15" s="436">
        <f t="shared" si="1"/>
        <v>9.6665412620000009</v>
      </c>
      <c r="AE15" s="436" t="str">
        <f t="shared" si="1"/>
        <v>нд</v>
      </c>
      <c r="AF15" s="436" t="str">
        <f t="shared" si="1"/>
        <v>нд</v>
      </c>
      <c r="AG15" s="436">
        <f t="shared" si="1"/>
        <v>8.1010000000000009</v>
      </c>
      <c r="AH15" s="436">
        <f t="shared" si="1"/>
        <v>1.565541262</v>
      </c>
      <c r="AI15" s="436">
        <f t="shared" si="1"/>
        <v>15.257448812381998</v>
      </c>
      <c r="AJ15" s="436" t="str">
        <f t="shared" si="1"/>
        <v>нд</v>
      </c>
      <c r="AK15" s="436">
        <f t="shared" si="1"/>
        <v>1.0351143119339996</v>
      </c>
      <c r="AL15" s="436">
        <f t="shared" si="1"/>
        <v>8.4143345004479997</v>
      </c>
      <c r="AM15" s="436">
        <f t="shared" si="1"/>
        <v>5.8079999999999998</v>
      </c>
      <c r="AN15" s="436">
        <f>AN16</f>
        <v>12.621995999999999</v>
      </c>
      <c r="AO15" s="436" t="str">
        <f t="shared" ref="AO15:AR16" si="2">AO16</f>
        <v>нд</v>
      </c>
      <c r="AP15" s="436" t="str">
        <f t="shared" si="2"/>
        <v>нд</v>
      </c>
      <c r="AQ15" s="436">
        <f t="shared" si="2"/>
        <v>8.4140039999999985</v>
      </c>
      <c r="AR15" s="436">
        <f t="shared" si="2"/>
        <v>4.207992</v>
      </c>
      <c r="AS15" s="436">
        <f t="shared" si="1"/>
        <v>13.975430351321572</v>
      </c>
      <c r="AT15" s="436" t="str">
        <f t="shared" si="1"/>
        <v>нд</v>
      </c>
      <c r="AU15" s="436" t="str">
        <f t="shared" si="1"/>
        <v>нд</v>
      </c>
      <c r="AV15" s="436">
        <f t="shared" si="1"/>
        <v>8.7802463226230714</v>
      </c>
      <c r="AW15" s="436">
        <f t="shared" si="1"/>
        <v>5.1951840286985007</v>
      </c>
      <c r="AX15" s="436">
        <f t="shared" si="1"/>
        <v>25.042551889151998</v>
      </c>
      <c r="AY15" s="436" t="str">
        <f t="shared" si="1"/>
        <v>нд</v>
      </c>
      <c r="AZ15" s="436" t="str">
        <f t="shared" si="1"/>
        <v>нд</v>
      </c>
      <c r="BA15" s="436">
        <f t="shared" si="1"/>
        <v>20.834559889151997</v>
      </c>
      <c r="BB15" s="436">
        <f t="shared" si="1"/>
        <v>4.207992</v>
      </c>
      <c r="BC15" s="436">
        <f t="shared" si="1"/>
        <v>20.861864707267696</v>
      </c>
      <c r="BD15" s="436" t="str">
        <f t="shared" si="1"/>
        <v>нд</v>
      </c>
      <c r="BE15" s="436">
        <f t="shared" si="1"/>
        <v>7.2773794871282353</v>
      </c>
      <c r="BF15" s="436">
        <f t="shared" si="1"/>
        <v>9.1370662993564302</v>
      </c>
      <c r="BG15" s="436">
        <f t="shared" si="1"/>
        <v>4.4474189207830293</v>
      </c>
      <c r="BH15" s="436">
        <f t="shared" si="1"/>
        <v>20.861864707267696</v>
      </c>
      <c r="BI15" s="436" t="str">
        <f t="shared" si="1"/>
        <v>нд</v>
      </c>
      <c r="BJ15" s="436">
        <f t="shared" si="1"/>
        <v>7.2773794871282353</v>
      </c>
      <c r="BK15" s="436">
        <f t="shared" si="1"/>
        <v>9.1370662993564302</v>
      </c>
      <c r="BL15" s="436">
        <f t="shared" si="1"/>
        <v>4.4474189207830293</v>
      </c>
      <c r="BM15" s="436">
        <f t="shared" si="1"/>
        <v>18.834826192645178</v>
      </c>
      <c r="BN15" s="436" t="str">
        <f t="shared" si="1"/>
        <v>нд</v>
      </c>
      <c r="BO15" s="436">
        <f t="shared" si="1"/>
        <v>2.5986407406216356</v>
      </c>
      <c r="BP15" s="436">
        <f t="shared" si="1"/>
        <v>9.5711854520235438</v>
      </c>
      <c r="BQ15" s="436">
        <f t="shared" si="1"/>
        <v>6.665</v>
      </c>
      <c r="BR15" s="436">
        <f t="shared" si="1"/>
        <v>18.834826192645178</v>
      </c>
      <c r="BS15" s="436" t="str">
        <f t="shared" si="1"/>
        <v>нд</v>
      </c>
      <c r="BT15" s="436">
        <f t="shared" ref="BT15:BV15" si="3">BT16</f>
        <v>2.5986407406216356</v>
      </c>
      <c r="BU15" s="436">
        <f t="shared" si="3"/>
        <v>9.5711854520235438</v>
      </c>
      <c r="BV15" s="436">
        <f t="shared" si="3"/>
        <v>6.665</v>
      </c>
      <c r="BW15" s="436">
        <f t="shared" ref="BW15:CG15" si="4">BW16</f>
        <v>78.596111325616448</v>
      </c>
      <c r="BX15" s="436" t="str">
        <f t="shared" si="4"/>
        <v>нд</v>
      </c>
      <c r="BY15" s="436">
        <f t="shared" si="4"/>
        <v>10.911134539683871</v>
      </c>
      <c r="BZ15" s="436">
        <f t="shared" si="4"/>
        <v>44.003832574451046</v>
      </c>
      <c r="CA15" s="436">
        <f t="shared" si="4"/>
        <v>23.681144211481531</v>
      </c>
      <c r="CB15" s="436">
        <f t="shared" si="4"/>
        <v>87.027780051064866</v>
      </c>
      <c r="CC15" s="436" t="str">
        <f t="shared" si="4"/>
        <v>нд</v>
      </c>
      <c r="CD15" s="436">
        <f t="shared" si="4"/>
        <v>9.876020227749871</v>
      </c>
      <c r="CE15" s="436">
        <f t="shared" si="4"/>
        <v>56.05781564053197</v>
      </c>
      <c r="CF15" s="436">
        <f t="shared" si="4"/>
        <v>21.09394418278303</v>
      </c>
      <c r="CG15" s="436" t="str">
        <f t="shared" si="4"/>
        <v>нд</v>
      </c>
    </row>
    <row r="16" spans="1:85" s="462" customFormat="1" x14ac:dyDescent="0.25">
      <c r="A16" s="16" t="s">
        <v>55</v>
      </c>
      <c r="B16" s="9" t="s">
        <v>34</v>
      </c>
      <c r="C16" s="460" t="s">
        <v>33</v>
      </c>
      <c r="D16" s="460" t="s">
        <v>33</v>
      </c>
      <c r="E16" s="460" t="s">
        <v>33</v>
      </c>
      <c r="F16" s="460" t="s">
        <v>33</v>
      </c>
      <c r="G16" s="460" t="s">
        <v>33</v>
      </c>
      <c r="H16" s="460">
        <f>H17+H38</f>
        <v>68.744070863333334</v>
      </c>
      <c r="I16" s="460">
        <f>I17+I38</f>
        <v>68.744070863333334</v>
      </c>
      <c r="J16" s="460" t="s">
        <v>33</v>
      </c>
      <c r="K16" s="461">
        <f t="shared" ref="K16:L16" si="5">K17+K38</f>
        <v>78.984671394000003</v>
      </c>
      <c r="L16" s="460">
        <f t="shared" si="5"/>
        <v>78.984671394000003</v>
      </c>
      <c r="M16" s="460" t="s">
        <v>33</v>
      </c>
      <c r="N16" s="460" t="s">
        <v>33</v>
      </c>
      <c r="O16" s="460" t="s">
        <v>33</v>
      </c>
      <c r="P16" s="460">
        <f t="shared" ref="P16:U16" si="6">P17+P38</f>
        <v>68.744070863333334</v>
      </c>
      <c r="Q16" s="460">
        <f t="shared" si="6"/>
        <v>78.596111325616448</v>
      </c>
      <c r="R16" s="460">
        <f t="shared" si="6"/>
        <v>78.984671394000003</v>
      </c>
      <c r="S16" s="460">
        <f t="shared" si="6"/>
        <v>87.027780051064866</v>
      </c>
      <c r="T16" s="460">
        <f t="shared" si="6"/>
        <v>78.596111325616448</v>
      </c>
      <c r="U16" s="460">
        <f t="shared" si="6"/>
        <v>87.027780051064866</v>
      </c>
      <c r="V16" s="460" t="s">
        <v>33</v>
      </c>
      <c r="W16" s="460" t="s">
        <v>33</v>
      </c>
      <c r="X16" s="460" t="s">
        <v>33</v>
      </c>
      <c r="Y16" s="460">
        <f>Y17</f>
        <v>9.6665412620000009</v>
      </c>
      <c r="Z16" s="460" t="s">
        <v>33</v>
      </c>
      <c r="AA16" s="460" t="s">
        <v>33</v>
      </c>
      <c r="AB16" s="460">
        <f>AB17</f>
        <v>8.1010000000000009</v>
      </c>
      <c r="AC16" s="460">
        <f>AC17</f>
        <v>1.565541262</v>
      </c>
      <c r="AD16" s="460">
        <f>AD17</f>
        <v>9.6665412620000009</v>
      </c>
      <c r="AE16" s="460" t="s">
        <v>33</v>
      </c>
      <c r="AF16" s="460" t="s">
        <v>33</v>
      </c>
      <c r="AG16" s="460">
        <f>AG17</f>
        <v>8.1010000000000009</v>
      </c>
      <c r="AH16" s="460">
        <f>AH17</f>
        <v>1.565541262</v>
      </c>
      <c r="AI16" s="460">
        <f>AI17</f>
        <v>15.257448812381998</v>
      </c>
      <c r="AJ16" s="460" t="s">
        <v>33</v>
      </c>
      <c r="AK16" s="460">
        <f>AK17</f>
        <v>1.0351143119339996</v>
      </c>
      <c r="AL16" s="460">
        <f t="shared" ref="AL16:AM16" si="7">AL17</f>
        <v>8.4143345004479997</v>
      </c>
      <c r="AM16" s="460">
        <f t="shared" si="7"/>
        <v>5.8079999999999998</v>
      </c>
      <c r="AN16" s="460">
        <f>AN17</f>
        <v>12.621995999999999</v>
      </c>
      <c r="AO16" s="460" t="str">
        <f t="shared" si="2"/>
        <v>нд</v>
      </c>
      <c r="AP16" s="460" t="str">
        <f t="shared" si="2"/>
        <v>нд</v>
      </c>
      <c r="AQ16" s="460">
        <f t="shared" si="2"/>
        <v>8.4140039999999985</v>
      </c>
      <c r="AR16" s="460">
        <f t="shared" si="2"/>
        <v>4.207992</v>
      </c>
      <c r="AS16" s="460">
        <f>AS17+AS38</f>
        <v>13.975430351321572</v>
      </c>
      <c r="AT16" s="460" t="s">
        <v>33</v>
      </c>
      <c r="AU16" s="460" t="s">
        <v>33</v>
      </c>
      <c r="AV16" s="460">
        <f>AV17+AV38</f>
        <v>8.7802463226230714</v>
      </c>
      <c r="AW16" s="460">
        <f>AW38</f>
        <v>5.1951840286985007</v>
      </c>
      <c r="AX16" s="460">
        <f>AX17+AX38</f>
        <v>25.042551889151998</v>
      </c>
      <c r="AY16" s="460" t="s">
        <v>33</v>
      </c>
      <c r="AZ16" s="460" t="s">
        <v>33</v>
      </c>
      <c r="BA16" s="460">
        <f>BA17+BA38</f>
        <v>20.834559889151997</v>
      </c>
      <c r="BB16" s="460">
        <f>BB38</f>
        <v>4.207992</v>
      </c>
      <c r="BC16" s="460">
        <f>BC17+BC38</f>
        <v>20.861864707267696</v>
      </c>
      <c r="BD16" s="460" t="s">
        <v>33</v>
      </c>
      <c r="BE16" s="460">
        <f>BE17</f>
        <v>7.2773794871282353</v>
      </c>
      <c r="BF16" s="460">
        <f>BF17+BF38</f>
        <v>9.1370662993564302</v>
      </c>
      <c r="BG16" s="460">
        <f>BG38</f>
        <v>4.4474189207830293</v>
      </c>
      <c r="BH16" s="460">
        <f>BH17+BH38</f>
        <v>20.861864707267696</v>
      </c>
      <c r="BI16" s="460" t="s">
        <v>33</v>
      </c>
      <c r="BJ16" s="460">
        <f>BJ17</f>
        <v>7.2773794871282353</v>
      </c>
      <c r="BK16" s="460">
        <f t="shared" ref="BK16" si="8">BK17+BK38</f>
        <v>9.1370662993564302</v>
      </c>
      <c r="BL16" s="460">
        <f>BL38</f>
        <v>4.4474189207830293</v>
      </c>
      <c r="BM16" s="460">
        <f>BM17</f>
        <v>18.834826192645178</v>
      </c>
      <c r="BN16" s="460" t="str">
        <f t="shared" ref="BN16:BV18" si="9">BN17</f>
        <v>нд</v>
      </c>
      <c r="BO16" s="460">
        <f t="shared" si="9"/>
        <v>2.5986407406216356</v>
      </c>
      <c r="BP16" s="460">
        <f t="shared" si="9"/>
        <v>9.5711854520235438</v>
      </c>
      <c r="BQ16" s="460">
        <f t="shared" si="9"/>
        <v>6.665</v>
      </c>
      <c r="BR16" s="460">
        <f>BR17</f>
        <v>18.834826192645178</v>
      </c>
      <c r="BS16" s="460" t="str">
        <f t="shared" si="9"/>
        <v>нд</v>
      </c>
      <c r="BT16" s="460">
        <f t="shared" si="9"/>
        <v>2.5986407406216356</v>
      </c>
      <c r="BU16" s="460">
        <f t="shared" si="9"/>
        <v>9.5711854520235438</v>
      </c>
      <c r="BV16" s="460">
        <f t="shared" si="9"/>
        <v>6.665</v>
      </c>
      <c r="BW16" s="460">
        <f>BW17+BW38</f>
        <v>78.596111325616448</v>
      </c>
      <c r="BX16" s="460" t="s">
        <v>33</v>
      </c>
      <c r="BY16" s="460">
        <f>BY17</f>
        <v>10.911134539683871</v>
      </c>
      <c r="BZ16" s="460">
        <f>BZ17+BZ38</f>
        <v>44.003832574451046</v>
      </c>
      <c r="CA16" s="460">
        <f>CA17+CA38</f>
        <v>23.681144211481531</v>
      </c>
      <c r="CB16" s="460">
        <f>CB17+CB38</f>
        <v>87.027780051064866</v>
      </c>
      <c r="CC16" s="460" t="s">
        <v>33</v>
      </c>
      <c r="CD16" s="460">
        <f>CD17</f>
        <v>9.876020227749871</v>
      </c>
      <c r="CE16" s="460">
        <f t="shared" ref="CE16:CF16" si="10">CE17+CE38</f>
        <v>56.05781564053197</v>
      </c>
      <c r="CF16" s="460">
        <f t="shared" si="10"/>
        <v>21.09394418278303</v>
      </c>
      <c r="CG16" s="460" t="s">
        <v>33</v>
      </c>
    </row>
    <row r="17" spans="1:85" s="459" customFormat="1" ht="31.5" x14ac:dyDescent="0.25">
      <c r="A17" s="18" t="s">
        <v>36</v>
      </c>
      <c r="B17" s="38" t="s">
        <v>37</v>
      </c>
      <c r="C17" s="436" t="str">
        <f>C18</f>
        <v>нд</v>
      </c>
      <c r="D17" s="436" t="str">
        <f t="shared" ref="D17:G18" si="11">D18</f>
        <v>нд</v>
      </c>
      <c r="E17" s="436" t="str">
        <f t="shared" si="11"/>
        <v>нд</v>
      </c>
      <c r="F17" s="436" t="str">
        <f t="shared" si="11"/>
        <v>нд</v>
      </c>
      <c r="G17" s="436" t="str">
        <f t="shared" si="11"/>
        <v>нд</v>
      </c>
      <c r="H17" s="436">
        <f>H18+H23+H30</f>
        <v>57.045987530000005</v>
      </c>
      <c r="I17" s="436">
        <f>I18+I23+I30</f>
        <v>57.045987530000005</v>
      </c>
      <c r="J17" s="436" t="str">
        <f t="shared" ref="J17:J18" si="12">J18</f>
        <v>нд</v>
      </c>
      <c r="K17" s="458">
        <f t="shared" ref="K17:L17" si="13">K18+K23+K30</f>
        <v>63.209751394000001</v>
      </c>
      <c r="L17" s="436">
        <f t="shared" si="13"/>
        <v>63.209751394000001</v>
      </c>
      <c r="M17" s="436" t="str">
        <f t="shared" ref="M17:M18" si="14">M18</f>
        <v>нд</v>
      </c>
      <c r="N17" s="436" t="str">
        <f t="shared" ref="N17:N18" si="15">N18</f>
        <v>нд</v>
      </c>
      <c r="O17" s="436" t="str">
        <f t="shared" ref="O17:O18" si="16">O18</f>
        <v>нд</v>
      </c>
      <c r="P17" s="436">
        <f t="shared" ref="P17:U17" si="17">P18+P23+P30</f>
        <v>57.045987530000005</v>
      </c>
      <c r="Q17" s="436">
        <f t="shared" si="17"/>
        <v>65.124508376134912</v>
      </c>
      <c r="R17" s="436">
        <f t="shared" si="17"/>
        <v>63.209751394000001</v>
      </c>
      <c r="S17" s="436">
        <f t="shared" si="17"/>
        <v>69.886634570281842</v>
      </c>
      <c r="T17" s="436">
        <f t="shared" si="17"/>
        <v>65.124508376134912</v>
      </c>
      <c r="U17" s="436">
        <f t="shared" si="17"/>
        <v>69.886634570281842</v>
      </c>
      <c r="V17" s="436" t="str">
        <f>V18</f>
        <v>нд</v>
      </c>
      <c r="W17" s="436" t="str">
        <f>W18</f>
        <v>нд</v>
      </c>
      <c r="X17" s="436" t="str">
        <f>X18</f>
        <v>нд</v>
      </c>
      <c r="Y17" s="436">
        <f>Y30</f>
        <v>9.6665412620000009</v>
      </c>
      <c r="Z17" s="436" t="str">
        <f>Z18</f>
        <v>нд</v>
      </c>
      <c r="AA17" s="436" t="str">
        <f>AA18</f>
        <v>нд</v>
      </c>
      <c r="AB17" s="436">
        <f>AB30</f>
        <v>8.1010000000000009</v>
      </c>
      <c r="AC17" s="436">
        <f>AC30</f>
        <v>1.565541262</v>
      </c>
      <c r="AD17" s="436">
        <f>AD30</f>
        <v>9.6665412620000009</v>
      </c>
      <c r="AE17" s="436" t="str">
        <f>AE18</f>
        <v>нд</v>
      </c>
      <c r="AF17" s="436" t="str">
        <f>AF18</f>
        <v>нд</v>
      </c>
      <c r="AG17" s="436">
        <f>AG30</f>
        <v>8.1010000000000009</v>
      </c>
      <c r="AH17" s="436">
        <f>AH30</f>
        <v>1.565541262</v>
      </c>
      <c r="AI17" s="436">
        <f>AI23+AI30</f>
        <v>15.257448812381998</v>
      </c>
      <c r="AJ17" s="436" t="str">
        <f>AJ18</f>
        <v>нд</v>
      </c>
      <c r="AK17" s="436">
        <f>AK23</f>
        <v>1.0351143119339996</v>
      </c>
      <c r="AL17" s="436">
        <f>AL23+AL30</f>
        <v>8.4143345004479997</v>
      </c>
      <c r="AM17" s="436">
        <f>AM23</f>
        <v>5.8079999999999998</v>
      </c>
      <c r="AN17" s="436">
        <f>AN18+AN23</f>
        <v>12.621995999999999</v>
      </c>
      <c r="AO17" s="436" t="s">
        <v>33</v>
      </c>
      <c r="AP17" s="436" t="s">
        <v>33</v>
      </c>
      <c r="AQ17" s="436">
        <f>AQ18+AQ23</f>
        <v>8.4140039999999985</v>
      </c>
      <c r="AR17" s="436">
        <f>AR18</f>
        <v>4.207992</v>
      </c>
      <c r="AS17" s="436">
        <f>AS23+AS30</f>
        <v>6.5162463226230711</v>
      </c>
      <c r="AT17" s="436" t="str">
        <f>AT18</f>
        <v>нд</v>
      </c>
      <c r="AU17" s="436" t="str">
        <f t="shared" ref="AU17:AU18" si="18">AU18</f>
        <v>нд</v>
      </c>
      <c r="AV17" s="436">
        <f>AV23+AV30</f>
        <v>6.5162463226230711</v>
      </c>
      <c r="AW17" s="436" t="str">
        <f t="shared" ref="AW17:AW18" si="19">AW18</f>
        <v>нд</v>
      </c>
      <c r="AX17" s="436">
        <f>AX23+AX30</f>
        <v>13.913825329151999</v>
      </c>
      <c r="AY17" s="436" t="str">
        <f t="shared" ref="AX17:BA18" si="20">AY18</f>
        <v>нд</v>
      </c>
      <c r="AZ17" s="436" t="str">
        <f t="shared" ref="AZ17" si="21">AZ18</f>
        <v>нд</v>
      </c>
      <c r="BA17" s="436">
        <f>BA23+BA30</f>
        <v>13.913825329151999</v>
      </c>
      <c r="BB17" s="436" t="s">
        <v>33</v>
      </c>
      <c r="BC17" s="436">
        <f>BC18+BC23+BC30</f>
        <v>14.849445786484665</v>
      </c>
      <c r="BD17" s="436" t="str">
        <f t="shared" ref="BD17:BD18" si="22">BD18</f>
        <v>нд</v>
      </c>
      <c r="BE17" s="436">
        <f>BE18</f>
        <v>7.2773794871282353</v>
      </c>
      <c r="BF17" s="436">
        <f>BF23+BF30</f>
        <v>7.5720662993564307</v>
      </c>
      <c r="BG17" s="436" t="str">
        <f t="shared" ref="BG17:BG18" si="23">BG18</f>
        <v>нд</v>
      </c>
      <c r="BH17" s="436">
        <f>BH23+BH30+BH18</f>
        <v>14.849445786484665</v>
      </c>
      <c r="BI17" s="436" t="str">
        <f t="shared" ref="BI17:BI18" si="24">BI18</f>
        <v>нд</v>
      </c>
      <c r="BJ17" s="436">
        <f>BJ18</f>
        <v>7.2773794871282353</v>
      </c>
      <c r="BK17" s="436">
        <f>BK23+BK30</f>
        <v>7.5720662993564307</v>
      </c>
      <c r="BL17" s="436" t="str">
        <f t="shared" ref="BL17" si="25">BL18</f>
        <v>нд</v>
      </c>
      <c r="BM17" s="436">
        <f>BM18+BM30</f>
        <v>18.834826192645178</v>
      </c>
      <c r="BN17" s="436" t="str">
        <f t="shared" ref="BN17:BN18" si="26">BN18</f>
        <v>нд</v>
      </c>
      <c r="BO17" s="436">
        <f>BO18</f>
        <v>2.5986407406216356</v>
      </c>
      <c r="BP17" s="436">
        <f>BP18+BP30</f>
        <v>9.5711854520235438</v>
      </c>
      <c r="BQ17" s="436">
        <f>BQ18</f>
        <v>6.665</v>
      </c>
      <c r="BR17" s="436">
        <f>BR18+BR30</f>
        <v>18.834826192645178</v>
      </c>
      <c r="BS17" s="436" t="str">
        <f t="shared" si="9"/>
        <v>нд</v>
      </c>
      <c r="BT17" s="436">
        <f>BT18</f>
        <v>2.5986407406216356</v>
      </c>
      <c r="BU17" s="436">
        <f>BU18+BU30</f>
        <v>9.5711854520235438</v>
      </c>
      <c r="BV17" s="436">
        <f>BV18</f>
        <v>6.665</v>
      </c>
      <c r="BW17" s="436">
        <f>BW18+BW23+BW30</f>
        <v>65.124508376134912</v>
      </c>
      <c r="BX17" s="436" t="s">
        <v>33</v>
      </c>
      <c r="BY17" s="436">
        <f>BY18+BY23</f>
        <v>10.911134539683871</v>
      </c>
      <c r="BZ17" s="436">
        <f>BZ18+BZ23+BZ30</f>
        <v>40.174832574451045</v>
      </c>
      <c r="CA17" s="436">
        <f>CA18+CA23+CA30</f>
        <v>14.038541261999999</v>
      </c>
      <c r="CB17" s="436">
        <f>CB18+CB23+CB30</f>
        <v>69.886634570281842</v>
      </c>
      <c r="CC17" s="436" t="str">
        <f t="shared" ref="CC17:CC18" si="27">CC18</f>
        <v>нд</v>
      </c>
      <c r="CD17" s="436">
        <f>CD18</f>
        <v>9.876020227749871</v>
      </c>
      <c r="CE17" s="436">
        <f t="shared" ref="CE17" si="28">CE18+CE23+CE30</f>
        <v>47.572081080531973</v>
      </c>
      <c r="CF17" s="436">
        <f>CF18+CF30</f>
        <v>12.438533262</v>
      </c>
      <c r="CG17" s="436" t="str">
        <f t="shared" ref="CG17:CG18" si="29">CG18</f>
        <v>нд</v>
      </c>
    </row>
    <row r="18" spans="1:85" s="465" customFormat="1" ht="47.25" x14ac:dyDescent="0.25">
      <c r="A18" s="23" t="s">
        <v>53</v>
      </c>
      <c r="B18" s="39" t="s">
        <v>54</v>
      </c>
      <c r="C18" s="463" t="str">
        <f>C19</f>
        <v>нд</v>
      </c>
      <c r="D18" s="463" t="str">
        <f t="shared" si="11"/>
        <v>нд</v>
      </c>
      <c r="E18" s="463" t="str">
        <f t="shared" si="11"/>
        <v>нд</v>
      </c>
      <c r="F18" s="463" t="str">
        <f t="shared" si="11"/>
        <v>нд</v>
      </c>
      <c r="G18" s="463" t="str">
        <f t="shared" si="11"/>
        <v>нд</v>
      </c>
      <c r="H18" s="463">
        <f>H19</f>
        <v>16.635193530000002</v>
      </c>
      <c r="I18" s="463">
        <f t="shared" ref="I18:BR18" si="30">I19</f>
        <v>16.635193530000002</v>
      </c>
      <c r="J18" s="463" t="str">
        <f t="shared" si="12"/>
        <v>нд</v>
      </c>
      <c r="K18" s="464">
        <f>K19</f>
        <v>22.816770966</v>
      </c>
      <c r="L18" s="463">
        <f>L19</f>
        <v>22.816770966</v>
      </c>
      <c r="M18" s="463" t="str">
        <f t="shared" si="14"/>
        <v>нд</v>
      </c>
      <c r="N18" s="463" t="str">
        <f t="shared" si="15"/>
        <v>нд</v>
      </c>
      <c r="O18" s="463" t="str">
        <f t="shared" si="16"/>
        <v>нд</v>
      </c>
      <c r="P18" s="463">
        <f t="shared" si="30"/>
        <v>16.635193530000002</v>
      </c>
      <c r="Q18" s="463">
        <f t="shared" si="30"/>
        <v>20.097020227749869</v>
      </c>
      <c r="R18" s="463">
        <f t="shared" si="30"/>
        <v>22.816770966</v>
      </c>
      <c r="S18" s="463">
        <f t="shared" si="30"/>
        <v>26.278597663749871</v>
      </c>
      <c r="T18" s="463">
        <f t="shared" si="30"/>
        <v>20.097020227749869</v>
      </c>
      <c r="U18" s="463">
        <f t="shared" si="30"/>
        <v>26.278597663749871</v>
      </c>
      <c r="V18" s="463" t="str">
        <f t="shared" ref="V18" si="31">V19</f>
        <v>нд</v>
      </c>
      <c r="W18" s="463" t="str">
        <f t="shared" ref="W18" si="32">W19</f>
        <v>нд</v>
      </c>
      <c r="X18" s="463" t="str">
        <f t="shared" ref="X18:Y18" si="33">X19</f>
        <v>нд</v>
      </c>
      <c r="Y18" s="463" t="str">
        <f t="shared" si="33"/>
        <v>нд</v>
      </c>
      <c r="Z18" s="463" t="str">
        <f t="shared" ref="Z18" si="34">Z19</f>
        <v>нд</v>
      </c>
      <c r="AA18" s="463" t="str">
        <f t="shared" ref="AA18" si="35">AA19</f>
        <v>нд</v>
      </c>
      <c r="AB18" s="463" t="str">
        <f t="shared" ref="AB18" si="36">AB19</f>
        <v>нд</v>
      </c>
      <c r="AC18" s="463" t="str">
        <f t="shared" ref="AC18" si="37">AC19</f>
        <v>нд</v>
      </c>
      <c r="AD18" s="463" t="str">
        <f t="shared" ref="AD18" si="38">AD19</f>
        <v>нд</v>
      </c>
      <c r="AE18" s="463" t="str">
        <f t="shared" ref="AE18" si="39">AE19</f>
        <v>нд</v>
      </c>
      <c r="AF18" s="463" t="str">
        <f t="shared" ref="AF18" si="40">AF19</f>
        <v>нд</v>
      </c>
      <c r="AG18" s="463" t="str">
        <f t="shared" ref="AG18" si="41">AG19</f>
        <v>нд</v>
      </c>
      <c r="AH18" s="463" t="str">
        <f t="shared" ref="AH18:AM18" si="42">AH19</f>
        <v>нд</v>
      </c>
      <c r="AI18" s="463" t="str">
        <f t="shared" si="42"/>
        <v>нд</v>
      </c>
      <c r="AJ18" s="463" t="str">
        <f t="shared" si="42"/>
        <v>нд</v>
      </c>
      <c r="AK18" s="463" t="str">
        <f t="shared" si="42"/>
        <v>нд</v>
      </c>
      <c r="AL18" s="463" t="str">
        <f t="shared" si="42"/>
        <v>нд</v>
      </c>
      <c r="AM18" s="463" t="str">
        <f t="shared" si="42"/>
        <v>нд</v>
      </c>
      <c r="AN18" s="463">
        <f>AN19</f>
        <v>6.1815774359999995</v>
      </c>
      <c r="AO18" s="463" t="str">
        <f t="shared" si="30"/>
        <v>нд</v>
      </c>
      <c r="AP18" s="463" t="str">
        <f t="shared" si="30"/>
        <v>нд</v>
      </c>
      <c r="AQ18" s="463">
        <f t="shared" si="30"/>
        <v>1.9735854359999996</v>
      </c>
      <c r="AR18" s="463">
        <f t="shared" si="30"/>
        <v>4.207992</v>
      </c>
      <c r="AS18" s="463" t="str">
        <f t="shared" si="30"/>
        <v>нд</v>
      </c>
      <c r="AT18" s="463" t="str">
        <f t="shared" ref="AT18" si="43">AT19</f>
        <v>нд</v>
      </c>
      <c r="AU18" s="463" t="str">
        <f t="shared" si="18"/>
        <v>нд</v>
      </c>
      <c r="AV18" s="463" t="str">
        <f t="shared" ref="AV18" si="44">AV19</f>
        <v>нд</v>
      </c>
      <c r="AW18" s="463" t="str">
        <f t="shared" si="19"/>
        <v>нд</v>
      </c>
      <c r="AX18" s="463" t="str">
        <f t="shared" si="20"/>
        <v>нд</v>
      </c>
      <c r="AY18" s="463" t="str">
        <f t="shared" si="20"/>
        <v>нд</v>
      </c>
      <c r="AZ18" s="463" t="str">
        <f t="shared" si="20"/>
        <v>нд</v>
      </c>
      <c r="BA18" s="463" t="str">
        <f t="shared" si="20"/>
        <v>нд</v>
      </c>
      <c r="BB18" s="463" t="str">
        <f t="shared" si="30"/>
        <v>нд</v>
      </c>
      <c r="BC18" s="463">
        <f t="shared" si="30"/>
        <v>7.2773794871282353</v>
      </c>
      <c r="BD18" s="463" t="str">
        <f t="shared" si="22"/>
        <v>нд</v>
      </c>
      <c r="BE18" s="463">
        <f t="shared" si="30"/>
        <v>7.2773794871282353</v>
      </c>
      <c r="BF18" s="463" t="str">
        <f t="shared" ref="BF18" si="45">BF19</f>
        <v>нд</v>
      </c>
      <c r="BG18" s="463" t="str">
        <f t="shared" si="23"/>
        <v>нд</v>
      </c>
      <c r="BH18" s="463">
        <f t="shared" si="30"/>
        <v>7.2773794871282353</v>
      </c>
      <c r="BI18" s="463" t="str">
        <f t="shared" si="24"/>
        <v>нд</v>
      </c>
      <c r="BJ18" s="463">
        <f t="shared" si="30"/>
        <v>7.2773794871282353</v>
      </c>
      <c r="BK18" s="463" t="str">
        <f t="shared" ref="BK18" si="46">BK19</f>
        <v>нд</v>
      </c>
      <c r="BL18" s="463" t="str">
        <f t="shared" si="30"/>
        <v>нд</v>
      </c>
      <c r="BM18" s="463">
        <f t="shared" si="30"/>
        <v>12.819640740621635</v>
      </c>
      <c r="BN18" s="463" t="str">
        <f t="shared" si="26"/>
        <v>нд</v>
      </c>
      <c r="BO18" s="463">
        <f t="shared" si="30"/>
        <v>2.5986407406216356</v>
      </c>
      <c r="BP18" s="463">
        <f t="shared" si="30"/>
        <v>3.556</v>
      </c>
      <c r="BQ18" s="463">
        <f t="shared" si="30"/>
        <v>6.665</v>
      </c>
      <c r="BR18" s="463">
        <f t="shared" si="30"/>
        <v>12.819640740621635</v>
      </c>
      <c r="BS18" s="463" t="str">
        <f t="shared" si="9"/>
        <v>нд</v>
      </c>
      <c r="BT18" s="463">
        <f t="shared" si="9"/>
        <v>2.5986407406216356</v>
      </c>
      <c r="BU18" s="463">
        <f t="shared" si="9"/>
        <v>3.556</v>
      </c>
      <c r="BV18" s="463">
        <f t="shared" si="9"/>
        <v>6.665</v>
      </c>
      <c r="BW18" s="463">
        <f>BW19</f>
        <v>20.097020227749869</v>
      </c>
      <c r="BX18" s="463" t="str">
        <f t="shared" ref="BX18:CF18" si="47">BX19</f>
        <v>нд</v>
      </c>
      <c r="BY18" s="463">
        <f t="shared" si="47"/>
        <v>9.876020227749871</v>
      </c>
      <c r="BZ18" s="463">
        <f t="shared" si="47"/>
        <v>3.556</v>
      </c>
      <c r="CA18" s="463">
        <f t="shared" si="47"/>
        <v>6.665</v>
      </c>
      <c r="CB18" s="463">
        <f t="shared" si="47"/>
        <v>26.278597663749871</v>
      </c>
      <c r="CC18" s="463" t="str">
        <f t="shared" si="27"/>
        <v>нд</v>
      </c>
      <c r="CD18" s="463">
        <f t="shared" si="47"/>
        <v>9.876020227749871</v>
      </c>
      <c r="CE18" s="463">
        <f t="shared" si="47"/>
        <v>5.5295854359999996</v>
      </c>
      <c r="CF18" s="463">
        <f t="shared" si="47"/>
        <v>10.872992</v>
      </c>
      <c r="CG18" s="463" t="str">
        <f t="shared" si="29"/>
        <v>нд</v>
      </c>
    </row>
    <row r="19" spans="1:85" s="468" customFormat="1" ht="30" customHeight="1" x14ac:dyDescent="0.25">
      <c r="A19" s="13" t="s">
        <v>38</v>
      </c>
      <c r="B19" s="10" t="s">
        <v>39</v>
      </c>
      <c r="C19" s="466" t="s">
        <v>33</v>
      </c>
      <c r="D19" s="466" t="s">
        <v>33</v>
      </c>
      <c r="E19" s="466" t="s">
        <v>33</v>
      </c>
      <c r="F19" s="466" t="s">
        <v>33</v>
      </c>
      <c r="G19" s="466" t="s">
        <v>33</v>
      </c>
      <c r="H19" s="466">
        <f>SUM(H20:H22)</f>
        <v>16.635193530000002</v>
      </c>
      <c r="I19" s="466">
        <f t="shared" ref="I19:P19" si="48">SUM(I20:I22)</f>
        <v>16.635193530000002</v>
      </c>
      <c r="J19" s="466" t="s">
        <v>33</v>
      </c>
      <c r="K19" s="467">
        <f>SUM(K20:K22)</f>
        <v>22.816770966</v>
      </c>
      <c r="L19" s="466">
        <f>SUM(L20:L22)</f>
        <v>22.816770966</v>
      </c>
      <c r="M19" s="466" t="s">
        <v>33</v>
      </c>
      <c r="N19" s="466" t="s">
        <v>33</v>
      </c>
      <c r="O19" s="466" t="s">
        <v>33</v>
      </c>
      <c r="P19" s="466">
        <f t="shared" si="48"/>
        <v>16.635193530000002</v>
      </c>
      <c r="Q19" s="466">
        <f t="shared" ref="Q19:R19" si="49">SUM(Q20:Q22)</f>
        <v>20.097020227749869</v>
      </c>
      <c r="R19" s="466">
        <f t="shared" si="49"/>
        <v>22.816770966</v>
      </c>
      <c r="S19" s="466">
        <f t="shared" ref="S19" si="50">SUM(S20:S22)</f>
        <v>26.278597663749871</v>
      </c>
      <c r="T19" s="466">
        <f t="shared" ref="T19:U19" si="51">SUM(T20:T22)</f>
        <v>20.097020227749869</v>
      </c>
      <c r="U19" s="466">
        <f t="shared" si="51"/>
        <v>26.278597663749871</v>
      </c>
      <c r="V19" s="466" t="s">
        <v>33</v>
      </c>
      <c r="W19" s="466" t="s">
        <v>33</v>
      </c>
      <c r="X19" s="466" t="s">
        <v>33</v>
      </c>
      <c r="Y19" s="466" t="s">
        <v>33</v>
      </c>
      <c r="Z19" s="466" t="s">
        <v>33</v>
      </c>
      <c r="AA19" s="466" t="s">
        <v>33</v>
      </c>
      <c r="AB19" s="466" t="s">
        <v>33</v>
      </c>
      <c r="AC19" s="466" t="s">
        <v>33</v>
      </c>
      <c r="AD19" s="466" t="s">
        <v>33</v>
      </c>
      <c r="AE19" s="466" t="s">
        <v>33</v>
      </c>
      <c r="AF19" s="466" t="s">
        <v>33</v>
      </c>
      <c r="AG19" s="466" t="s">
        <v>33</v>
      </c>
      <c r="AH19" s="466" t="s">
        <v>33</v>
      </c>
      <c r="AI19" s="466" t="s">
        <v>33</v>
      </c>
      <c r="AJ19" s="466" t="s">
        <v>33</v>
      </c>
      <c r="AK19" s="466" t="s">
        <v>33</v>
      </c>
      <c r="AL19" s="466" t="s">
        <v>33</v>
      </c>
      <c r="AM19" s="466" t="s">
        <v>33</v>
      </c>
      <c r="AN19" s="466">
        <f>SUM(AN20:AN22)</f>
        <v>6.1815774359999995</v>
      </c>
      <c r="AO19" s="466" t="s">
        <v>33</v>
      </c>
      <c r="AP19" s="466" t="s">
        <v>33</v>
      </c>
      <c r="AQ19" s="466">
        <f t="shared" ref="AQ19:AR19" si="52">SUM(AQ20:AQ22)</f>
        <v>1.9735854359999996</v>
      </c>
      <c r="AR19" s="466">
        <f t="shared" si="52"/>
        <v>4.207992</v>
      </c>
      <c r="AS19" s="466" t="s">
        <v>33</v>
      </c>
      <c r="AT19" s="466" t="s">
        <v>33</v>
      </c>
      <c r="AU19" s="466" t="s">
        <v>33</v>
      </c>
      <c r="AV19" s="466" t="s">
        <v>33</v>
      </c>
      <c r="AW19" s="466" t="s">
        <v>33</v>
      </c>
      <c r="AX19" s="466" t="s">
        <v>33</v>
      </c>
      <c r="AY19" s="466" t="s">
        <v>33</v>
      </c>
      <c r="AZ19" s="466" t="s">
        <v>33</v>
      </c>
      <c r="BA19" s="466" t="s">
        <v>33</v>
      </c>
      <c r="BB19" s="466" t="s">
        <v>33</v>
      </c>
      <c r="BC19" s="466">
        <f t="shared" ref="BC19:BE19" si="53">SUM(BC20:BC22)</f>
        <v>7.2773794871282353</v>
      </c>
      <c r="BD19" s="466" t="s">
        <v>33</v>
      </c>
      <c r="BE19" s="466">
        <f t="shared" si="53"/>
        <v>7.2773794871282353</v>
      </c>
      <c r="BF19" s="466" t="s">
        <v>33</v>
      </c>
      <c r="BG19" s="466" t="s">
        <v>33</v>
      </c>
      <c r="BH19" s="466">
        <f t="shared" ref="BH19:BJ19" si="54">SUM(BH20:BH22)</f>
        <v>7.2773794871282353</v>
      </c>
      <c r="BI19" s="466" t="s">
        <v>33</v>
      </c>
      <c r="BJ19" s="466">
        <f t="shared" si="54"/>
        <v>7.2773794871282353</v>
      </c>
      <c r="BK19" s="466" t="s">
        <v>33</v>
      </c>
      <c r="BL19" s="466" t="s">
        <v>33</v>
      </c>
      <c r="BM19" s="466">
        <f t="shared" ref="BM19" si="55">SUM(BM20:BM22)</f>
        <v>12.819640740621635</v>
      </c>
      <c r="BN19" s="466" t="s">
        <v>33</v>
      </c>
      <c r="BO19" s="466">
        <f t="shared" ref="BO19" si="56">SUM(BO20:BO22)</f>
        <v>2.5986407406216356</v>
      </c>
      <c r="BP19" s="466">
        <f t="shared" ref="BP19" si="57">SUM(BP20:BP22)</f>
        <v>3.556</v>
      </c>
      <c r="BQ19" s="466">
        <f t="shared" ref="BQ19:BR19" si="58">SUM(BQ20:BQ22)</f>
        <v>6.665</v>
      </c>
      <c r="BR19" s="466">
        <f t="shared" si="58"/>
        <v>12.819640740621635</v>
      </c>
      <c r="BS19" s="466" t="s">
        <v>33</v>
      </c>
      <c r="BT19" s="466">
        <f t="shared" ref="BT19:BU19" si="59">SUM(BT20:BT22)</f>
        <v>2.5986407406216356</v>
      </c>
      <c r="BU19" s="466">
        <f t="shared" si="59"/>
        <v>3.556</v>
      </c>
      <c r="BV19" s="466">
        <f t="shared" ref="BV19" si="60">SUM(BV20:BV22)</f>
        <v>6.665</v>
      </c>
      <c r="BW19" s="466">
        <f>SUM(BW20:BW22)</f>
        <v>20.097020227749869</v>
      </c>
      <c r="BX19" s="466" t="str">
        <f>BX20</f>
        <v>нд</v>
      </c>
      <c r="BY19" s="466">
        <f>SUM(BY20:BY22)</f>
        <v>9.876020227749871</v>
      </c>
      <c r="BZ19" s="466">
        <f t="shared" ref="BZ19" si="61">SUM(BZ20:BZ22)</f>
        <v>3.556</v>
      </c>
      <c r="CA19" s="466">
        <f t="shared" ref="CA19:CB19" si="62">SUM(CA20:CA22)</f>
        <v>6.665</v>
      </c>
      <c r="CB19" s="466">
        <f t="shared" si="62"/>
        <v>26.278597663749871</v>
      </c>
      <c r="CC19" s="466" t="s">
        <v>33</v>
      </c>
      <c r="CD19" s="466">
        <f t="shared" ref="CD19" si="63">SUM(CD20:CD22)</f>
        <v>9.876020227749871</v>
      </c>
      <c r="CE19" s="466">
        <f t="shared" ref="CE19:CF19" si="64">SUM(CE20:CE22)</f>
        <v>5.5295854359999996</v>
      </c>
      <c r="CF19" s="466">
        <f t="shared" si="64"/>
        <v>10.872992</v>
      </c>
      <c r="CG19" s="466" t="s">
        <v>33</v>
      </c>
    </row>
    <row r="20" spans="1:85" s="469" customFormat="1" ht="30" customHeight="1" x14ac:dyDescent="0.25">
      <c r="A20" s="13" t="s">
        <v>40</v>
      </c>
      <c r="B20" s="375" t="s">
        <v>1330</v>
      </c>
      <c r="C20" s="410" t="s">
        <v>1348</v>
      </c>
      <c r="D20" s="410" t="s">
        <v>97</v>
      </c>
      <c r="E20" s="401">
        <v>2023</v>
      </c>
      <c r="F20" s="401">
        <v>2023</v>
      </c>
      <c r="G20" s="401">
        <v>2023</v>
      </c>
      <c r="H20" s="408">
        <v>0</v>
      </c>
      <c r="I20" s="408">
        <f>H20</f>
        <v>0</v>
      </c>
      <c r="J20" s="410" t="s">
        <v>33</v>
      </c>
      <c r="K20" s="407">
        <f>5.15131453*1.2</f>
        <v>6.1815774359999995</v>
      </c>
      <c r="L20" s="410">
        <f>K20</f>
        <v>6.1815774359999995</v>
      </c>
      <c r="M20" s="411" t="s">
        <v>1358</v>
      </c>
      <c r="N20" s="410" t="s">
        <v>33</v>
      </c>
      <c r="O20" s="410" t="s">
        <v>33</v>
      </c>
      <c r="P20" s="411">
        <v>0</v>
      </c>
      <c r="Q20" s="411">
        <f>P20*Ф17!E14*Ф17!F14*Ф17!G14*Ф17!H14</f>
        <v>0</v>
      </c>
      <c r="R20" s="410">
        <f>L20</f>
        <v>6.1815774359999995</v>
      </c>
      <c r="S20" s="410">
        <f>R20</f>
        <v>6.1815774359999995</v>
      </c>
      <c r="T20" s="411">
        <f>Q20</f>
        <v>0</v>
      </c>
      <c r="U20" s="410">
        <f>S20</f>
        <v>6.1815774359999995</v>
      </c>
      <c r="V20" s="410" t="s">
        <v>33</v>
      </c>
      <c r="W20" s="410" t="s">
        <v>33</v>
      </c>
      <c r="X20" s="410" t="s">
        <v>33</v>
      </c>
      <c r="Y20" s="410" t="s">
        <v>33</v>
      </c>
      <c r="Z20" s="410" t="s">
        <v>33</v>
      </c>
      <c r="AA20" s="410" t="s">
        <v>33</v>
      </c>
      <c r="AB20" s="410" t="s">
        <v>33</v>
      </c>
      <c r="AC20" s="410" t="s">
        <v>33</v>
      </c>
      <c r="AD20" s="410" t="s">
        <v>33</v>
      </c>
      <c r="AE20" s="410" t="s">
        <v>33</v>
      </c>
      <c r="AF20" s="410" t="s">
        <v>33</v>
      </c>
      <c r="AG20" s="410" t="s">
        <v>33</v>
      </c>
      <c r="AH20" s="410" t="s">
        <v>33</v>
      </c>
      <c r="AI20" s="410" t="s">
        <v>33</v>
      </c>
      <c r="AJ20" s="410" t="s">
        <v>33</v>
      </c>
      <c r="AK20" s="410" t="s">
        <v>33</v>
      </c>
      <c r="AL20" s="410" t="s">
        <v>33</v>
      </c>
      <c r="AM20" s="410" t="s">
        <v>33</v>
      </c>
      <c r="AN20" s="410">
        <f>U20</f>
        <v>6.1815774359999995</v>
      </c>
      <c r="AO20" s="410" t="s">
        <v>33</v>
      </c>
      <c r="AP20" s="410" t="s">
        <v>33</v>
      </c>
      <c r="AQ20" s="410">
        <f>AN20-AR20</f>
        <v>1.9735854359999996</v>
      </c>
      <c r="AR20" s="410">
        <f>3.50666*1.2</f>
        <v>4.207992</v>
      </c>
      <c r="AS20" s="410" t="s">
        <v>33</v>
      </c>
      <c r="AT20" s="410" t="s">
        <v>33</v>
      </c>
      <c r="AU20" s="410" t="s">
        <v>33</v>
      </c>
      <c r="AV20" s="410" t="s">
        <v>33</v>
      </c>
      <c r="AW20" s="410" t="s">
        <v>33</v>
      </c>
      <c r="AX20" s="410" t="s">
        <v>33</v>
      </c>
      <c r="AY20" s="410" t="s">
        <v>33</v>
      </c>
      <c r="AZ20" s="410" t="s">
        <v>33</v>
      </c>
      <c r="BA20" s="410" t="s">
        <v>33</v>
      </c>
      <c r="BB20" s="410" t="s">
        <v>33</v>
      </c>
      <c r="BC20" s="410" t="s">
        <v>33</v>
      </c>
      <c r="BD20" s="410" t="s">
        <v>33</v>
      </c>
      <c r="BE20" s="410" t="s">
        <v>33</v>
      </c>
      <c r="BF20" s="410" t="s">
        <v>33</v>
      </c>
      <c r="BG20" s="410" t="s">
        <v>33</v>
      </c>
      <c r="BH20" s="410" t="s">
        <v>33</v>
      </c>
      <c r="BI20" s="410" t="s">
        <v>33</v>
      </c>
      <c r="BJ20" s="410" t="s">
        <v>33</v>
      </c>
      <c r="BK20" s="410" t="s">
        <v>33</v>
      </c>
      <c r="BL20" s="410" t="s">
        <v>33</v>
      </c>
      <c r="BM20" s="410" t="s">
        <v>33</v>
      </c>
      <c r="BN20" s="410" t="s">
        <v>33</v>
      </c>
      <c r="BO20" s="410" t="s">
        <v>33</v>
      </c>
      <c r="BP20" s="410" t="s">
        <v>33</v>
      </c>
      <c r="BQ20" s="410" t="s">
        <v>33</v>
      </c>
      <c r="BR20" s="410" t="s">
        <v>33</v>
      </c>
      <c r="BS20" s="410" t="s">
        <v>33</v>
      </c>
      <c r="BT20" s="410" t="s">
        <v>33</v>
      </c>
      <c r="BU20" s="410" t="s">
        <v>33</v>
      </c>
      <c r="BV20" s="410" t="s">
        <v>33</v>
      </c>
      <c r="BW20" s="410" t="s">
        <v>33</v>
      </c>
      <c r="BX20" s="410" t="s">
        <v>33</v>
      </c>
      <c r="BY20" s="410" t="s">
        <v>33</v>
      </c>
      <c r="BZ20" s="410" t="s">
        <v>33</v>
      </c>
      <c r="CA20" s="410" t="s">
        <v>33</v>
      </c>
      <c r="CB20" s="410">
        <f>AN20</f>
        <v>6.1815774359999995</v>
      </c>
      <c r="CC20" s="410" t="s">
        <v>33</v>
      </c>
      <c r="CD20" s="410" t="str">
        <f>AP20</f>
        <v>нд</v>
      </c>
      <c r="CE20" s="410">
        <f t="shared" ref="CE20:CF20" si="65">AQ20</f>
        <v>1.9735854359999996</v>
      </c>
      <c r="CF20" s="410">
        <f t="shared" si="65"/>
        <v>4.207992</v>
      </c>
      <c r="CG20" s="410" t="s">
        <v>33</v>
      </c>
    </row>
    <row r="21" spans="1:85" s="469" customFormat="1" x14ac:dyDescent="0.25">
      <c r="A21" s="13" t="s">
        <v>465</v>
      </c>
      <c r="B21" s="237" t="s">
        <v>648</v>
      </c>
      <c r="C21" s="410" t="s">
        <v>637</v>
      </c>
      <c r="D21" s="410" t="s">
        <v>97</v>
      </c>
      <c r="E21" s="402">
        <v>2025</v>
      </c>
      <c r="F21" s="402">
        <v>2025</v>
      </c>
      <c r="G21" s="410" t="s">
        <v>33</v>
      </c>
      <c r="H21" s="410">
        <v>6.1790475300000001</v>
      </c>
      <c r="I21" s="410">
        <f t="shared" ref="I21:I22" si="66">H21</f>
        <v>6.1790475300000001</v>
      </c>
      <c r="J21" s="406" t="s">
        <v>1355</v>
      </c>
      <c r="K21" s="407">
        <f t="shared" ref="K21:K22" si="67">H21</f>
        <v>6.1790475300000001</v>
      </c>
      <c r="L21" s="410">
        <f t="shared" ref="L21:L22" si="68">K21</f>
        <v>6.1790475300000001</v>
      </c>
      <c r="M21" s="410" t="s">
        <v>33</v>
      </c>
      <c r="N21" s="410" t="s">
        <v>33</v>
      </c>
      <c r="O21" s="410" t="s">
        <v>33</v>
      </c>
      <c r="P21" s="410">
        <f>H21</f>
        <v>6.1790475300000001</v>
      </c>
      <c r="Q21" s="410">
        <f>P21*Ф17!E15*Ф17!F15*Ф17!G15*Ф17!H15</f>
        <v>7.2773794871282353</v>
      </c>
      <c r="R21" s="410">
        <f>L21</f>
        <v>6.1790475300000001</v>
      </c>
      <c r="S21" s="410">
        <f>Q21</f>
        <v>7.2773794871282353</v>
      </c>
      <c r="T21" s="410">
        <f t="shared" ref="T21" si="69">Q21</f>
        <v>7.2773794871282353</v>
      </c>
      <c r="U21" s="410">
        <f t="shared" ref="U21:U22" si="70">S21</f>
        <v>7.2773794871282353</v>
      </c>
      <c r="V21" s="410" t="s">
        <v>33</v>
      </c>
      <c r="W21" s="410" t="s">
        <v>33</v>
      </c>
      <c r="X21" s="410" t="s">
        <v>33</v>
      </c>
      <c r="Y21" s="410" t="s">
        <v>33</v>
      </c>
      <c r="Z21" s="410" t="s">
        <v>33</v>
      </c>
      <c r="AA21" s="410" t="s">
        <v>33</v>
      </c>
      <c r="AB21" s="410" t="s">
        <v>33</v>
      </c>
      <c r="AC21" s="410" t="s">
        <v>33</v>
      </c>
      <c r="AD21" s="410" t="s">
        <v>33</v>
      </c>
      <c r="AE21" s="410" t="s">
        <v>33</v>
      </c>
      <c r="AF21" s="410" t="s">
        <v>33</v>
      </c>
      <c r="AG21" s="410" t="s">
        <v>33</v>
      </c>
      <c r="AH21" s="410" t="s">
        <v>33</v>
      </c>
      <c r="AI21" s="410" t="s">
        <v>33</v>
      </c>
      <c r="AJ21" s="410" t="s">
        <v>33</v>
      </c>
      <c r="AK21" s="410" t="s">
        <v>33</v>
      </c>
      <c r="AL21" s="410" t="s">
        <v>33</v>
      </c>
      <c r="AM21" s="410" t="s">
        <v>33</v>
      </c>
      <c r="AN21" s="410" t="s">
        <v>33</v>
      </c>
      <c r="AO21" s="410" t="s">
        <v>33</v>
      </c>
      <c r="AP21" s="410" t="s">
        <v>33</v>
      </c>
      <c r="AQ21" s="410" t="s">
        <v>33</v>
      </c>
      <c r="AR21" s="410" t="s">
        <v>33</v>
      </c>
      <c r="AS21" s="410" t="s">
        <v>33</v>
      </c>
      <c r="AT21" s="410" t="s">
        <v>33</v>
      </c>
      <c r="AU21" s="410" t="s">
        <v>33</v>
      </c>
      <c r="AV21" s="410" t="s">
        <v>33</v>
      </c>
      <c r="AW21" s="410" t="s">
        <v>33</v>
      </c>
      <c r="AX21" s="410" t="s">
        <v>33</v>
      </c>
      <c r="AY21" s="410" t="s">
        <v>33</v>
      </c>
      <c r="AZ21" s="410" t="s">
        <v>33</v>
      </c>
      <c r="BA21" s="410" t="s">
        <v>33</v>
      </c>
      <c r="BB21" s="410" t="s">
        <v>33</v>
      </c>
      <c r="BC21" s="410">
        <f t="shared" ref="BC21" si="71">IF(E21=2025,T21,0)</f>
        <v>7.2773794871282353</v>
      </c>
      <c r="BD21" s="410" t="s">
        <v>33</v>
      </c>
      <c r="BE21" s="410">
        <f>BC21</f>
        <v>7.2773794871282353</v>
      </c>
      <c r="BF21" s="410" t="s">
        <v>33</v>
      </c>
      <c r="BG21" s="410" t="s">
        <v>33</v>
      </c>
      <c r="BH21" s="410">
        <f>BC21</f>
        <v>7.2773794871282353</v>
      </c>
      <c r="BI21" s="410" t="s">
        <v>33</v>
      </c>
      <c r="BJ21" s="410">
        <f>BE21</f>
        <v>7.2773794871282353</v>
      </c>
      <c r="BK21" s="410" t="s">
        <v>33</v>
      </c>
      <c r="BL21" s="410" t="s">
        <v>33</v>
      </c>
      <c r="BM21" s="410" t="s">
        <v>33</v>
      </c>
      <c r="BN21" s="410" t="s">
        <v>33</v>
      </c>
      <c r="BO21" s="410" t="s">
        <v>33</v>
      </c>
      <c r="BP21" s="410" t="s">
        <v>33</v>
      </c>
      <c r="BQ21" s="410" t="s">
        <v>33</v>
      </c>
      <c r="BR21" s="410" t="s">
        <v>33</v>
      </c>
      <c r="BS21" s="410" t="s">
        <v>33</v>
      </c>
      <c r="BT21" s="410" t="s">
        <v>33</v>
      </c>
      <c r="BU21" s="410" t="s">
        <v>33</v>
      </c>
      <c r="BV21" s="410" t="s">
        <v>33</v>
      </c>
      <c r="BW21" s="410">
        <f>Q21</f>
        <v>7.2773794871282353</v>
      </c>
      <c r="BX21" s="410" t="s">
        <v>33</v>
      </c>
      <c r="BY21" s="410">
        <f>BE21</f>
        <v>7.2773794871282353</v>
      </c>
      <c r="BZ21" s="410" t="s">
        <v>33</v>
      </c>
      <c r="CA21" s="410" t="s">
        <v>33</v>
      </c>
      <c r="CB21" s="410">
        <f>BH21</f>
        <v>7.2773794871282353</v>
      </c>
      <c r="CC21" s="410" t="str">
        <f t="shared" ref="CC21:CF21" si="72">BI21</f>
        <v>нд</v>
      </c>
      <c r="CD21" s="410">
        <f t="shared" si="72"/>
        <v>7.2773794871282353</v>
      </c>
      <c r="CE21" s="410" t="str">
        <f t="shared" si="72"/>
        <v>нд</v>
      </c>
      <c r="CF21" s="410" t="str">
        <f t="shared" si="72"/>
        <v>нд</v>
      </c>
      <c r="CG21" s="410" t="s">
        <v>33</v>
      </c>
    </row>
    <row r="22" spans="1:85" s="469" customFormat="1" x14ac:dyDescent="0.25">
      <c r="A22" s="13" t="s">
        <v>615</v>
      </c>
      <c r="B22" s="237" t="s">
        <v>649</v>
      </c>
      <c r="C22" s="410" t="s">
        <v>638</v>
      </c>
      <c r="D22" s="410" t="s">
        <v>97</v>
      </c>
      <c r="E22" s="402">
        <v>2026</v>
      </c>
      <c r="F22" s="402">
        <v>2026</v>
      </c>
      <c r="G22" s="410" t="s">
        <v>33</v>
      </c>
      <c r="H22" s="410">
        <v>10.456146</v>
      </c>
      <c r="I22" s="410">
        <f t="shared" si="66"/>
        <v>10.456146</v>
      </c>
      <c r="J22" s="406" t="s">
        <v>1355</v>
      </c>
      <c r="K22" s="407">
        <f t="shared" si="67"/>
        <v>10.456146</v>
      </c>
      <c r="L22" s="410">
        <f t="shared" si="68"/>
        <v>10.456146</v>
      </c>
      <c r="M22" s="410" t="s">
        <v>33</v>
      </c>
      <c r="N22" s="410" t="s">
        <v>33</v>
      </c>
      <c r="O22" s="410" t="s">
        <v>33</v>
      </c>
      <c r="P22" s="410">
        <f>H22</f>
        <v>10.456146</v>
      </c>
      <c r="Q22" s="410">
        <f>P22*Ф17!E15*Ф17!F15*Ф17!G15*Ф17!H15*Ф17!I15</f>
        <v>12.819640740621635</v>
      </c>
      <c r="R22" s="410">
        <f>L22</f>
        <v>10.456146</v>
      </c>
      <c r="S22" s="410">
        <f>Q22</f>
        <v>12.819640740621635</v>
      </c>
      <c r="T22" s="410">
        <f t="shared" ref="T22" si="73">Q22</f>
        <v>12.819640740621635</v>
      </c>
      <c r="U22" s="410">
        <f t="shared" si="70"/>
        <v>12.819640740621635</v>
      </c>
      <c r="V22" s="410" t="s">
        <v>33</v>
      </c>
      <c r="W22" s="410" t="s">
        <v>33</v>
      </c>
      <c r="X22" s="410" t="s">
        <v>33</v>
      </c>
      <c r="Y22" s="410" t="s">
        <v>33</v>
      </c>
      <c r="Z22" s="410" t="s">
        <v>33</v>
      </c>
      <c r="AA22" s="410" t="s">
        <v>33</v>
      </c>
      <c r="AB22" s="410" t="s">
        <v>33</v>
      </c>
      <c r="AC22" s="410" t="s">
        <v>33</v>
      </c>
      <c r="AD22" s="410" t="s">
        <v>33</v>
      </c>
      <c r="AE22" s="410" t="s">
        <v>33</v>
      </c>
      <c r="AF22" s="410" t="s">
        <v>33</v>
      </c>
      <c r="AG22" s="410" t="s">
        <v>33</v>
      </c>
      <c r="AH22" s="410" t="s">
        <v>33</v>
      </c>
      <c r="AI22" s="410" t="s">
        <v>33</v>
      </c>
      <c r="AJ22" s="410" t="s">
        <v>33</v>
      </c>
      <c r="AK22" s="410" t="s">
        <v>33</v>
      </c>
      <c r="AL22" s="410" t="s">
        <v>33</v>
      </c>
      <c r="AM22" s="410" t="s">
        <v>33</v>
      </c>
      <c r="AN22" s="410" t="s">
        <v>33</v>
      </c>
      <c r="AO22" s="410" t="s">
        <v>33</v>
      </c>
      <c r="AP22" s="410" t="s">
        <v>33</v>
      </c>
      <c r="AQ22" s="410" t="s">
        <v>33</v>
      </c>
      <c r="AR22" s="410" t="s">
        <v>33</v>
      </c>
      <c r="AS22" s="410" t="s">
        <v>33</v>
      </c>
      <c r="AT22" s="410" t="s">
        <v>33</v>
      </c>
      <c r="AU22" s="410" t="s">
        <v>33</v>
      </c>
      <c r="AV22" s="410" t="s">
        <v>33</v>
      </c>
      <c r="AW22" s="410" t="s">
        <v>33</v>
      </c>
      <c r="AX22" s="410" t="s">
        <v>33</v>
      </c>
      <c r="AY22" s="410" t="s">
        <v>33</v>
      </c>
      <c r="AZ22" s="410" t="s">
        <v>33</v>
      </c>
      <c r="BA22" s="410" t="s">
        <v>33</v>
      </c>
      <c r="BB22" s="410" t="s">
        <v>33</v>
      </c>
      <c r="BC22" s="410" t="s">
        <v>33</v>
      </c>
      <c r="BD22" s="410" t="s">
        <v>33</v>
      </c>
      <c r="BE22" s="410" t="s">
        <v>33</v>
      </c>
      <c r="BF22" s="410" t="s">
        <v>33</v>
      </c>
      <c r="BG22" s="410" t="s">
        <v>33</v>
      </c>
      <c r="BH22" s="410" t="s">
        <v>33</v>
      </c>
      <c r="BI22" s="410" t="s">
        <v>33</v>
      </c>
      <c r="BJ22" s="410" t="s">
        <v>33</v>
      </c>
      <c r="BK22" s="410" t="s">
        <v>33</v>
      </c>
      <c r="BL22" s="410" t="s">
        <v>33</v>
      </c>
      <c r="BM22" s="410">
        <f>IF(E22=2026,T22,0)</f>
        <v>12.819640740621635</v>
      </c>
      <c r="BN22" s="410" t="s">
        <v>33</v>
      </c>
      <c r="BO22" s="410">
        <f>BM22-BP22-BQ22</f>
        <v>2.5986407406216356</v>
      </c>
      <c r="BP22" s="410">
        <v>3.556</v>
      </c>
      <c r="BQ22" s="410">
        <v>6.665</v>
      </c>
      <c r="BR22" s="410">
        <f>BM22</f>
        <v>12.819640740621635</v>
      </c>
      <c r="BS22" s="410" t="s">
        <v>33</v>
      </c>
      <c r="BT22" s="410">
        <f>BO22</f>
        <v>2.5986407406216356</v>
      </c>
      <c r="BU22" s="410">
        <f>BP22</f>
        <v>3.556</v>
      </c>
      <c r="BV22" s="410">
        <f>BQ22</f>
        <v>6.665</v>
      </c>
      <c r="BW22" s="410">
        <f>Q22</f>
        <v>12.819640740621635</v>
      </c>
      <c r="BX22" s="410" t="s">
        <v>33</v>
      </c>
      <c r="BY22" s="410">
        <f>BO22</f>
        <v>2.5986407406216356</v>
      </c>
      <c r="BZ22" s="410">
        <f>BP22</f>
        <v>3.556</v>
      </c>
      <c r="CA22" s="410">
        <f>BQ22</f>
        <v>6.665</v>
      </c>
      <c r="CB22" s="410">
        <f>BR22</f>
        <v>12.819640740621635</v>
      </c>
      <c r="CC22" s="410" t="str">
        <f t="shared" ref="CC22:CF22" si="74">BS22</f>
        <v>нд</v>
      </c>
      <c r="CD22" s="410">
        <f t="shared" si="74"/>
        <v>2.5986407406216356</v>
      </c>
      <c r="CE22" s="410">
        <f t="shared" si="74"/>
        <v>3.556</v>
      </c>
      <c r="CF22" s="410">
        <f t="shared" si="74"/>
        <v>6.665</v>
      </c>
      <c r="CG22" s="410" t="s">
        <v>33</v>
      </c>
    </row>
    <row r="23" spans="1:85" s="465" customFormat="1" ht="31.5" x14ac:dyDescent="0.25">
      <c r="A23" s="23" t="s">
        <v>41</v>
      </c>
      <c r="B23" s="39" t="s">
        <v>42</v>
      </c>
      <c r="C23" s="463" t="str">
        <f>C24</f>
        <v>нд</v>
      </c>
      <c r="D23" s="463" t="str">
        <f t="shared" ref="D23:G23" si="75">D24</f>
        <v>нд</v>
      </c>
      <c r="E23" s="463" t="str">
        <f t="shared" si="75"/>
        <v>нд</v>
      </c>
      <c r="F23" s="463" t="str">
        <f t="shared" si="75"/>
        <v>нд</v>
      </c>
      <c r="G23" s="463" t="str">
        <f t="shared" si="75"/>
        <v>нд</v>
      </c>
      <c r="H23" s="463">
        <f>H24</f>
        <v>11.182074</v>
      </c>
      <c r="I23" s="463">
        <f t="shared" ref="I23:BT23" si="76">I24</f>
        <v>11.182074</v>
      </c>
      <c r="J23" s="463" t="str">
        <f t="shared" si="76"/>
        <v>нд</v>
      </c>
      <c r="K23" s="464">
        <f t="shared" si="76"/>
        <v>20.371696428</v>
      </c>
      <c r="L23" s="463">
        <f t="shared" si="76"/>
        <v>20.371696428</v>
      </c>
      <c r="M23" s="463" t="str">
        <f t="shared" si="76"/>
        <v>нд</v>
      </c>
      <c r="N23" s="463" t="str">
        <f t="shared" si="76"/>
        <v>нд</v>
      </c>
      <c r="O23" s="463" t="str">
        <f t="shared" si="76"/>
        <v>нд</v>
      </c>
      <c r="P23" s="463">
        <f t="shared" si="76"/>
        <v>11.182074</v>
      </c>
      <c r="Q23" s="463">
        <f t="shared" si="76"/>
        <v>12.400215876321726</v>
      </c>
      <c r="R23" s="463">
        <f t="shared" si="76"/>
        <v>20.371696428</v>
      </c>
      <c r="S23" s="463">
        <f t="shared" si="76"/>
        <v>21.217912598819545</v>
      </c>
      <c r="T23" s="463">
        <f t="shared" si="76"/>
        <v>12.400215876321726</v>
      </c>
      <c r="U23" s="463">
        <f t="shared" si="76"/>
        <v>21.217912598819545</v>
      </c>
      <c r="V23" s="463" t="str">
        <f t="shared" si="76"/>
        <v>нд</v>
      </c>
      <c r="W23" s="463" t="str">
        <f t="shared" si="76"/>
        <v>нд</v>
      </c>
      <c r="X23" s="463" t="str">
        <f t="shared" si="76"/>
        <v>нд</v>
      </c>
      <c r="Y23" s="463" t="str">
        <f t="shared" si="76"/>
        <v>нд</v>
      </c>
      <c r="Z23" s="463" t="str">
        <f t="shared" si="76"/>
        <v>нд</v>
      </c>
      <c r="AA23" s="463" t="str">
        <f t="shared" si="76"/>
        <v>нд</v>
      </c>
      <c r="AB23" s="463" t="str">
        <f t="shared" si="76"/>
        <v>нд</v>
      </c>
      <c r="AC23" s="463" t="str">
        <f t="shared" si="76"/>
        <v>нд</v>
      </c>
      <c r="AD23" s="463" t="str">
        <f t="shared" si="76"/>
        <v>нд</v>
      </c>
      <c r="AE23" s="463" t="str">
        <f t="shared" si="76"/>
        <v>нд</v>
      </c>
      <c r="AF23" s="463" t="str">
        <f t="shared" si="76"/>
        <v>нд</v>
      </c>
      <c r="AG23" s="463" t="str">
        <f t="shared" si="76"/>
        <v>нд</v>
      </c>
      <c r="AH23" s="463" t="str">
        <f t="shared" si="76"/>
        <v>нд</v>
      </c>
      <c r="AI23" s="463">
        <f t="shared" si="76"/>
        <v>8.1921143119339987</v>
      </c>
      <c r="AJ23" s="463" t="str">
        <f t="shared" si="76"/>
        <v>нд</v>
      </c>
      <c r="AK23" s="463">
        <f t="shared" si="76"/>
        <v>1.0351143119339996</v>
      </c>
      <c r="AL23" s="463">
        <f t="shared" si="76"/>
        <v>1.3489999999999993</v>
      </c>
      <c r="AM23" s="463">
        <f t="shared" si="76"/>
        <v>5.8079999999999998</v>
      </c>
      <c r="AN23" s="463">
        <f t="shared" si="76"/>
        <v>6.4404185639999998</v>
      </c>
      <c r="AO23" s="463" t="str">
        <f t="shared" si="76"/>
        <v>нд</v>
      </c>
      <c r="AP23" s="463" t="str">
        <f t="shared" si="76"/>
        <v>нд</v>
      </c>
      <c r="AQ23" s="463">
        <f t="shared" si="76"/>
        <v>6.4404185639999998</v>
      </c>
      <c r="AR23" s="463" t="str">
        <f t="shared" si="76"/>
        <v>нд</v>
      </c>
      <c r="AS23" s="463">
        <f t="shared" si="76"/>
        <v>2.0477752587201836</v>
      </c>
      <c r="AT23" s="463" t="str">
        <f t="shared" si="76"/>
        <v>нд</v>
      </c>
      <c r="AU23" s="463" t="str">
        <f t="shared" si="76"/>
        <v>нд</v>
      </c>
      <c r="AV23" s="463">
        <f t="shared" si="76"/>
        <v>2.0477752587201836</v>
      </c>
      <c r="AW23" s="463" t="str">
        <f t="shared" si="76"/>
        <v>нд</v>
      </c>
      <c r="AX23" s="463">
        <f t="shared" si="76"/>
        <v>12.617167729151999</v>
      </c>
      <c r="AY23" s="463" t="str">
        <f t="shared" si="76"/>
        <v>нд</v>
      </c>
      <c r="AZ23" s="463" t="str">
        <f t="shared" si="76"/>
        <v>нд</v>
      </c>
      <c r="BA23" s="463">
        <f t="shared" si="76"/>
        <v>12.617167729151999</v>
      </c>
      <c r="BB23" s="463" t="str">
        <f t="shared" si="76"/>
        <v>нд</v>
      </c>
      <c r="BC23" s="463">
        <f t="shared" si="76"/>
        <v>2.1603263056675441</v>
      </c>
      <c r="BD23" s="463" t="str">
        <f t="shared" si="76"/>
        <v>нд</v>
      </c>
      <c r="BE23" s="463" t="str">
        <f t="shared" si="76"/>
        <v>нд</v>
      </c>
      <c r="BF23" s="463">
        <f t="shared" si="76"/>
        <v>2.1603263056675441</v>
      </c>
      <c r="BG23" s="463" t="str">
        <f t="shared" si="76"/>
        <v>нд</v>
      </c>
      <c r="BH23" s="463">
        <f t="shared" si="76"/>
        <v>2.1603263056675441</v>
      </c>
      <c r="BI23" s="463" t="str">
        <f t="shared" si="76"/>
        <v>нд</v>
      </c>
      <c r="BJ23" s="463" t="str">
        <f t="shared" si="76"/>
        <v>нд</v>
      </c>
      <c r="BK23" s="463">
        <f t="shared" si="76"/>
        <v>2.1603263056675441</v>
      </c>
      <c r="BL23" s="463" t="str">
        <f t="shared" si="76"/>
        <v>нд</v>
      </c>
      <c r="BM23" s="463" t="str">
        <f t="shared" si="76"/>
        <v>нд</v>
      </c>
      <c r="BN23" s="463" t="str">
        <f t="shared" si="76"/>
        <v>нд</v>
      </c>
      <c r="BO23" s="463" t="str">
        <f t="shared" si="76"/>
        <v>нд</v>
      </c>
      <c r="BP23" s="463" t="str">
        <f t="shared" si="76"/>
        <v>нд</v>
      </c>
      <c r="BQ23" s="463" t="str">
        <f t="shared" si="76"/>
        <v>нд</v>
      </c>
      <c r="BR23" s="463" t="str">
        <f t="shared" si="76"/>
        <v>нд</v>
      </c>
      <c r="BS23" s="463" t="str">
        <f t="shared" si="76"/>
        <v>нд</v>
      </c>
      <c r="BT23" s="463" t="str">
        <f t="shared" si="76"/>
        <v>нд</v>
      </c>
      <c r="BU23" s="463" t="str">
        <f t="shared" ref="BU23:BV23" si="77">BU24</f>
        <v>нд</v>
      </c>
      <c r="BV23" s="463" t="str">
        <f t="shared" si="77"/>
        <v>нд</v>
      </c>
      <c r="BW23" s="463">
        <f t="shared" ref="BW23:CG23" si="78">BW24</f>
        <v>12.400215876321726</v>
      </c>
      <c r="BX23" s="463" t="str">
        <f t="shared" si="78"/>
        <v>нд</v>
      </c>
      <c r="BY23" s="463">
        <f t="shared" si="78"/>
        <v>1.0351143119339996</v>
      </c>
      <c r="BZ23" s="463">
        <f t="shared" si="78"/>
        <v>5.5571015643877271</v>
      </c>
      <c r="CA23" s="463">
        <f t="shared" si="78"/>
        <v>5.8079999999999998</v>
      </c>
      <c r="CB23" s="463">
        <f t="shared" si="78"/>
        <v>21.217912598819545</v>
      </c>
      <c r="CC23" s="463" t="str">
        <f t="shared" si="78"/>
        <v>нд</v>
      </c>
      <c r="CD23" s="463" t="str">
        <f t="shared" si="78"/>
        <v>нд</v>
      </c>
      <c r="CE23" s="463">
        <f t="shared" si="78"/>
        <v>21.217912598819545</v>
      </c>
      <c r="CF23" s="463" t="str">
        <f t="shared" si="78"/>
        <v>нд</v>
      </c>
      <c r="CG23" s="463" t="str">
        <f t="shared" si="78"/>
        <v>нд</v>
      </c>
    </row>
    <row r="24" spans="1:85" s="472" customFormat="1" x14ac:dyDescent="0.25">
      <c r="A24" s="13" t="s">
        <v>49</v>
      </c>
      <c r="B24" s="10" t="s">
        <v>50</v>
      </c>
      <c r="C24" s="470" t="s">
        <v>33</v>
      </c>
      <c r="D24" s="470" t="s">
        <v>33</v>
      </c>
      <c r="E24" s="470" t="s">
        <v>33</v>
      </c>
      <c r="F24" s="470" t="s">
        <v>33</v>
      </c>
      <c r="G24" s="470" t="s">
        <v>33</v>
      </c>
      <c r="H24" s="470">
        <f>SUM(H25:H29)</f>
        <v>11.182074</v>
      </c>
      <c r="I24" s="470">
        <f t="shared" ref="I24" si="79">SUM(I25:I29)</f>
        <v>11.182074</v>
      </c>
      <c r="J24" s="470" t="s">
        <v>33</v>
      </c>
      <c r="K24" s="471">
        <f t="shared" ref="K24:L24" si="80">SUM(K25:K29)</f>
        <v>20.371696428</v>
      </c>
      <c r="L24" s="470">
        <f t="shared" si="80"/>
        <v>20.371696428</v>
      </c>
      <c r="M24" s="470" t="s">
        <v>33</v>
      </c>
      <c r="N24" s="470" t="s">
        <v>33</v>
      </c>
      <c r="O24" s="470" t="s">
        <v>33</v>
      </c>
      <c r="P24" s="470">
        <f>SUM(P25:P29)</f>
        <v>11.182074</v>
      </c>
      <c r="Q24" s="470">
        <f t="shared" ref="Q24:CA24" si="81">SUM(Q25:Q29)</f>
        <v>12.400215876321726</v>
      </c>
      <c r="R24" s="470">
        <f>SUM(R25:R29)</f>
        <v>20.371696428</v>
      </c>
      <c r="S24" s="470">
        <f t="shared" ref="S24" si="82">SUM(S25:S29)</f>
        <v>21.217912598819545</v>
      </c>
      <c r="T24" s="470">
        <f t="shared" si="81"/>
        <v>12.400215876321726</v>
      </c>
      <c r="U24" s="470">
        <f t="shared" ref="U24" si="83">SUM(U25:U29)</f>
        <v>21.217912598819545</v>
      </c>
      <c r="V24" s="470" t="s">
        <v>33</v>
      </c>
      <c r="W24" s="470" t="s">
        <v>33</v>
      </c>
      <c r="X24" s="470" t="s">
        <v>33</v>
      </c>
      <c r="Y24" s="470" t="s">
        <v>33</v>
      </c>
      <c r="Z24" s="470" t="s">
        <v>33</v>
      </c>
      <c r="AA24" s="470" t="s">
        <v>33</v>
      </c>
      <c r="AB24" s="470" t="s">
        <v>33</v>
      </c>
      <c r="AC24" s="470" t="s">
        <v>33</v>
      </c>
      <c r="AD24" s="470" t="s">
        <v>33</v>
      </c>
      <c r="AE24" s="470" t="s">
        <v>33</v>
      </c>
      <c r="AF24" s="470" t="s">
        <v>33</v>
      </c>
      <c r="AG24" s="470" t="s">
        <v>33</v>
      </c>
      <c r="AH24" s="470" t="s">
        <v>33</v>
      </c>
      <c r="AI24" s="470">
        <f t="shared" si="81"/>
        <v>8.1921143119339987</v>
      </c>
      <c r="AJ24" s="470" t="s">
        <v>33</v>
      </c>
      <c r="AK24" s="470">
        <f t="shared" si="81"/>
        <v>1.0351143119339996</v>
      </c>
      <c r="AL24" s="470">
        <f t="shared" si="81"/>
        <v>1.3489999999999993</v>
      </c>
      <c r="AM24" s="470">
        <f t="shared" si="81"/>
        <v>5.8079999999999998</v>
      </c>
      <c r="AN24" s="470">
        <f t="shared" ref="AN24" si="84">SUM(AN25:AN29)</f>
        <v>6.4404185639999998</v>
      </c>
      <c r="AO24" s="470" t="s">
        <v>33</v>
      </c>
      <c r="AP24" s="470" t="s">
        <v>33</v>
      </c>
      <c r="AQ24" s="470">
        <f t="shared" ref="AQ24" si="85">SUM(AQ25:AQ29)</f>
        <v>6.4404185639999998</v>
      </c>
      <c r="AR24" s="470" t="s">
        <v>33</v>
      </c>
      <c r="AS24" s="470">
        <f t="shared" si="81"/>
        <v>2.0477752587201836</v>
      </c>
      <c r="AT24" s="470" t="s">
        <v>33</v>
      </c>
      <c r="AU24" s="470" t="s">
        <v>33</v>
      </c>
      <c r="AV24" s="470">
        <f t="shared" si="81"/>
        <v>2.0477752587201836</v>
      </c>
      <c r="AW24" s="470" t="s">
        <v>33</v>
      </c>
      <c r="AX24" s="470">
        <f t="shared" ref="AX24" si="86">SUM(AX25:AX29)</f>
        <v>12.617167729151999</v>
      </c>
      <c r="AY24" s="470" t="s">
        <v>33</v>
      </c>
      <c r="AZ24" s="470" t="s">
        <v>33</v>
      </c>
      <c r="BA24" s="470">
        <f t="shared" ref="BA24" si="87">SUM(BA25:BA29)</f>
        <v>12.617167729151999</v>
      </c>
      <c r="BB24" s="470" t="s">
        <v>33</v>
      </c>
      <c r="BC24" s="470">
        <f t="shared" si="81"/>
        <v>2.1603263056675441</v>
      </c>
      <c r="BD24" s="466" t="s">
        <v>33</v>
      </c>
      <c r="BE24" s="466" t="s">
        <v>33</v>
      </c>
      <c r="BF24" s="470">
        <f t="shared" si="81"/>
        <v>2.1603263056675441</v>
      </c>
      <c r="BG24" s="470" t="s">
        <v>33</v>
      </c>
      <c r="BH24" s="470">
        <f t="shared" ref="BH24" si="88">SUM(BH25:BH29)</f>
        <v>2.1603263056675441</v>
      </c>
      <c r="BI24" s="470" t="s">
        <v>33</v>
      </c>
      <c r="BJ24" s="470" t="s">
        <v>33</v>
      </c>
      <c r="BK24" s="470">
        <f t="shared" ref="BK24" si="89">SUM(BK25:BK29)</f>
        <v>2.1603263056675441</v>
      </c>
      <c r="BL24" s="470" t="s">
        <v>33</v>
      </c>
      <c r="BM24" s="470" t="s">
        <v>33</v>
      </c>
      <c r="BN24" s="470" t="s">
        <v>33</v>
      </c>
      <c r="BO24" s="470" t="s">
        <v>33</v>
      </c>
      <c r="BP24" s="470" t="s">
        <v>33</v>
      </c>
      <c r="BQ24" s="470" t="s">
        <v>33</v>
      </c>
      <c r="BR24" s="470" t="s">
        <v>33</v>
      </c>
      <c r="BS24" s="470" t="s">
        <v>33</v>
      </c>
      <c r="BT24" s="470" t="s">
        <v>33</v>
      </c>
      <c r="BU24" s="470" t="s">
        <v>33</v>
      </c>
      <c r="BV24" s="470" t="s">
        <v>33</v>
      </c>
      <c r="BW24" s="470">
        <f>SUM(BW25:BW29)</f>
        <v>12.400215876321726</v>
      </c>
      <c r="BX24" s="470" t="str">
        <f>BX25</f>
        <v>нд</v>
      </c>
      <c r="BY24" s="470">
        <f t="shared" si="81"/>
        <v>1.0351143119339996</v>
      </c>
      <c r="BZ24" s="470">
        <f t="shared" si="81"/>
        <v>5.5571015643877271</v>
      </c>
      <c r="CA24" s="470">
        <f t="shared" si="81"/>
        <v>5.8079999999999998</v>
      </c>
      <c r="CB24" s="470">
        <f t="shared" ref="CB24:CE24" si="90">SUM(CB25:CB29)</f>
        <v>21.217912598819545</v>
      </c>
      <c r="CC24" s="470" t="s">
        <v>33</v>
      </c>
      <c r="CD24" s="470" t="s">
        <v>33</v>
      </c>
      <c r="CE24" s="470">
        <f t="shared" si="90"/>
        <v>21.217912598819545</v>
      </c>
      <c r="CF24" s="470" t="s">
        <v>33</v>
      </c>
      <c r="CG24" s="470" t="s">
        <v>33</v>
      </c>
    </row>
    <row r="25" spans="1:85" s="468" customFormat="1" ht="47.25" x14ac:dyDescent="0.25">
      <c r="A25" s="13" t="s">
        <v>51</v>
      </c>
      <c r="B25" s="236" t="s">
        <v>650</v>
      </c>
      <c r="C25" s="410" t="s">
        <v>1329</v>
      </c>
      <c r="D25" s="410" t="s">
        <v>97</v>
      </c>
      <c r="E25" s="401">
        <v>2023</v>
      </c>
      <c r="F25" s="401">
        <v>2023</v>
      </c>
      <c r="G25" s="401">
        <v>2023</v>
      </c>
      <c r="H25" s="407">
        <v>7.5377890000000001</v>
      </c>
      <c r="I25" s="407">
        <f>H25</f>
        <v>7.5377890000000001</v>
      </c>
      <c r="J25" s="406" t="s">
        <v>1355</v>
      </c>
      <c r="K25" s="407">
        <f>5.36701547*1.2</f>
        <v>6.4404185639999998</v>
      </c>
      <c r="L25" s="410">
        <f>K25</f>
        <v>6.4404185639999998</v>
      </c>
      <c r="M25" s="411" t="s">
        <v>1358</v>
      </c>
      <c r="N25" s="410" t="s">
        <v>33</v>
      </c>
      <c r="O25" s="410" t="s">
        <v>33</v>
      </c>
      <c r="P25" s="410">
        <f>H25</f>
        <v>7.5377890000000001</v>
      </c>
      <c r="Q25" s="410">
        <f>P25*Ф17!E15*Ф17!F15</f>
        <v>8.1921143119339987</v>
      </c>
      <c r="R25" s="410">
        <f>K25</f>
        <v>6.4404185639999998</v>
      </c>
      <c r="S25" s="410">
        <f>L25</f>
        <v>6.4404185639999998</v>
      </c>
      <c r="T25" s="410">
        <f>Q25</f>
        <v>8.1921143119339987</v>
      </c>
      <c r="U25" s="410">
        <f t="shared" ref="U25:U29" si="91">S25</f>
        <v>6.4404185639999998</v>
      </c>
      <c r="V25" s="410" t="s">
        <v>33</v>
      </c>
      <c r="W25" s="410" t="s">
        <v>33</v>
      </c>
      <c r="X25" s="410" t="s">
        <v>33</v>
      </c>
      <c r="Y25" s="410" t="s">
        <v>33</v>
      </c>
      <c r="Z25" s="410" t="s">
        <v>33</v>
      </c>
      <c r="AA25" s="410" t="s">
        <v>33</v>
      </c>
      <c r="AB25" s="410" t="s">
        <v>33</v>
      </c>
      <c r="AC25" s="410" t="s">
        <v>33</v>
      </c>
      <c r="AD25" s="410" t="s">
        <v>33</v>
      </c>
      <c r="AE25" s="410" t="s">
        <v>33</v>
      </c>
      <c r="AF25" s="410" t="s">
        <v>33</v>
      </c>
      <c r="AG25" s="410" t="s">
        <v>33</v>
      </c>
      <c r="AH25" s="410" t="s">
        <v>33</v>
      </c>
      <c r="AI25" s="410">
        <f>IF(F25=2023,T25,0)</f>
        <v>8.1921143119339987</v>
      </c>
      <c r="AJ25" s="410" t="s">
        <v>33</v>
      </c>
      <c r="AK25" s="410">
        <f>AI25-AL25-AM25</f>
        <v>1.0351143119339996</v>
      </c>
      <c r="AL25" s="410">
        <f>8.482-7.133</f>
        <v>1.3489999999999993</v>
      </c>
      <c r="AM25" s="410">
        <v>5.8079999999999998</v>
      </c>
      <c r="AN25" s="410">
        <f>U25</f>
        <v>6.4404185639999998</v>
      </c>
      <c r="AO25" s="410" t="s">
        <v>33</v>
      </c>
      <c r="AP25" s="410" t="s">
        <v>33</v>
      </c>
      <c r="AQ25" s="410">
        <f>AN25</f>
        <v>6.4404185639999998</v>
      </c>
      <c r="AR25" s="410" t="s">
        <v>33</v>
      </c>
      <c r="AS25" s="410" t="s">
        <v>33</v>
      </c>
      <c r="AT25" s="410" t="s">
        <v>33</v>
      </c>
      <c r="AU25" s="410" t="s">
        <v>33</v>
      </c>
      <c r="AV25" s="410" t="s">
        <v>33</v>
      </c>
      <c r="AW25" s="410" t="s">
        <v>33</v>
      </c>
      <c r="AX25" s="410" t="s">
        <v>33</v>
      </c>
      <c r="AY25" s="410" t="s">
        <v>33</v>
      </c>
      <c r="AZ25" s="410" t="s">
        <v>33</v>
      </c>
      <c r="BA25" s="410" t="s">
        <v>33</v>
      </c>
      <c r="BB25" s="410" t="s">
        <v>33</v>
      </c>
      <c r="BC25" s="410" t="s">
        <v>33</v>
      </c>
      <c r="BD25" s="410" t="s">
        <v>33</v>
      </c>
      <c r="BE25" s="410" t="s">
        <v>33</v>
      </c>
      <c r="BF25" s="410" t="s">
        <v>33</v>
      </c>
      <c r="BG25" s="410" t="s">
        <v>33</v>
      </c>
      <c r="BH25" s="410" t="s">
        <v>33</v>
      </c>
      <c r="BI25" s="410" t="s">
        <v>33</v>
      </c>
      <c r="BJ25" s="410" t="s">
        <v>33</v>
      </c>
      <c r="BK25" s="410" t="s">
        <v>33</v>
      </c>
      <c r="BL25" s="410" t="s">
        <v>33</v>
      </c>
      <c r="BM25" s="410" t="s">
        <v>33</v>
      </c>
      <c r="BN25" s="410" t="s">
        <v>33</v>
      </c>
      <c r="BO25" s="410" t="s">
        <v>33</v>
      </c>
      <c r="BP25" s="410" t="s">
        <v>33</v>
      </c>
      <c r="BQ25" s="410" t="s">
        <v>33</v>
      </c>
      <c r="BR25" s="410" t="s">
        <v>33</v>
      </c>
      <c r="BS25" s="410" t="s">
        <v>33</v>
      </c>
      <c r="BT25" s="410" t="s">
        <v>33</v>
      </c>
      <c r="BU25" s="410" t="s">
        <v>33</v>
      </c>
      <c r="BV25" s="410" t="s">
        <v>33</v>
      </c>
      <c r="BW25" s="410">
        <f>Q25</f>
        <v>8.1921143119339987</v>
      </c>
      <c r="BX25" s="410" t="str">
        <f>AJ25</f>
        <v>нд</v>
      </c>
      <c r="BY25" s="410">
        <f>AK25</f>
        <v>1.0351143119339996</v>
      </c>
      <c r="BZ25" s="410">
        <f>AL25</f>
        <v>1.3489999999999993</v>
      </c>
      <c r="CA25" s="410">
        <f>AM25</f>
        <v>5.8079999999999998</v>
      </c>
      <c r="CB25" s="410">
        <f>AN25</f>
        <v>6.4404185639999998</v>
      </c>
      <c r="CC25" s="410" t="str">
        <f t="shared" ref="CC25:CF25" si="92">AO25</f>
        <v>нд</v>
      </c>
      <c r="CD25" s="410" t="str">
        <f t="shared" si="92"/>
        <v>нд</v>
      </c>
      <c r="CE25" s="410">
        <f t="shared" si="92"/>
        <v>6.4404185639999998</v>
      </c>
      <c r="CF25" s="410" t="str">
        <f t="shared" si="92"/>
        <v>нд</v>
      </c>
      <c r="CG25" s="428" t="s">
        <v>1363</v>
      </c>
    </row>
    <row r="26" spans="1:85" s="468" customFormat="1" x14ac:dyDescent="0.25">
      <c r="A26" s="13" t="s">
        <v>578</v>
      </c>
      <c r="B26" s="236" t="s">
        <v>651</v>
      </c>
      <c r="C26" s="410" t="s">
        <v>1349</v>
      </c>
      <c r="D26" s="410" t="s">
        <v>97</v>
      </c>
      <c r="E26" s="401">
        <v>2024</v>
      </c>
      <c r="F26" s="401">
        <v>2024</v>
      </c>
      <c r="G26" s="401">
        <v>2024</v>
      </c>
      <c r="H26" s="407">
        <v>0.88517199999999996</v>
      </c>
      <c r="I26" s="407">
        <f t="shared" ref="I26:I29" si="93">H26</f>
        <v>0.88517199999999996</v>
      </c>
      <c r="J26" s="406" t="s">
        <v>1355</v>
      </c>
      <c r="K26" s="407">
        <f>0.89556724*1.2</f>
        <v>1.0746806879999999</v>
      </c>
      <c r="L26" s="410">
        <f>K26</f>
        <v>1.0746806879999999</v>
      </c>
      <c r="M26" s="411" t="s">
        <v>1358</v>
      </c>
      <c r="N26" s="410" t="s">
        <v>33</v>
      </c>
      <c r="O26" s="410" t="s">
        <v>33</v>
      </c>
      <c r="P26" s="410">
        <f t="shared" ref="P26:P29" si="94">H26</f>
        <v>0.88517199999999996</v>
      </c>
      <c r="Q26" s="410">
        <f>P26*Ф17!E15*Ф17!F15*Ф17!G15</f>
        <v>1.0014526604979119</v>
      </c>
      <c r="R26" s="410">
        <f>L26</f>
        <v>1.0746806879999999</v>
      </c>
      <c r="S26" s="410">
        <f>R26*1.043</f>
        <v>1.120891957584</v>
      </c>
      <c r="T26" s="410">
        <f t="shared" ref="T26:T29" si="95">Q26</f>
        <v>1.0014526604979119</v>
      </c>
      <c r="U26" s="410">
        <f t="shared" si="91"/>
        <v>1.120891957584</v>
      </c>
      <c r="V26" s="410" t="s">
        <v>33</v>
      </c>
      <c r="W26" s="410" t="s">
        <v>33</v>
      </c>
      <c r="X26" s="410" t="s">
        <v>33</v>
      </c>
      <c r="Y26" s="410" t="s">
        <v>33</v>
      </c>
      <c r="Z26" s="410" t="s">
        <v>33</v>
      </c>
      <c r="AA26" s="410" t="s">
        <v>33</v>
      </c>
      <c r="AB26" s="410" t="s">
        <v>33</v>
      </c>
      <c r="AC26" s="410" t="s">
        <v>33</v>
      </c>
      <c r="AD26" s="410" t="s">
        <v>33</v>
      </c>
      <c r="AE26" s="410" t="s">
        <v>33</v>
      </c>
      <c r="AF26" s="410" t="s">
        <v>33</v>
      </c>
      <c r="AG26" s="410" t="s">
        <v>33</v>
      </c>
      <c r="AH26" s="410" t="s">
        <v>33</v>
      </c>
      <c r="AI26" s="410" t="s">
        <v>33</v>
      </c>
      <c r="AJ26" s="410" t="s">
        <v>33</v>
      </c>
      <c r="AK26" s="410" t="s">
        <v>33</v>
      </c>
      <c r="AL26" s="410" t="s">
        <v>33</v>
      </c>
      <c r="AM26" s="410" t="s">
        <v>33</v>
      </c>
      <c r="AN26" s="410" t="s">
        <v>33</v>
      </c>
      <c r="AO26" s="410" t="s">
        <v>33</v>
      </c>
      <c r="AP26" s="410" t="s">
        <v>33</v>
      </c>
      <c r="AQ26" s="410" t="s">
        <v>33</v>
      </c>
      <c r="AR26" s="410" t="s">
        <v>33</v>
      </c>
      <c r="AS26" s="410">
        <f t="shared" ref="AS26:AS27" si="96">IF(E26=2024,T26,0)</f>
        <v>1.0014526604979119</v>
      </c>
      <c r="AT26" s="410" t="s">
        <v>33</v>
      </c>
      <c r="AU26" s="410" t="s">
        <v>33</v>
      </c>
      <c r="AV26" s="410">
        <f>AS26</f>
        <v>1.0014526604979119</v>
      </c>
      <c r="AW26" s="410" t="s">
        <v>33</v>
      </c>
      <c r="AX26" s="410">
        <f>U26</f>
        <v>1.120891957584</v>
      </c>
      <c r="AY26" s="410" t="s">
        <v>33</v>
      </c>
      <c r="AZ26" s="410" t="s">
        <v>33</v>
      </c>
      <c r="BA26" s="410">
        <f>AX26</f>
        <v>1.120891957584</v>
      </c>
      <c r="BB26" s="410" t="s">
        <v>33</v>
      </c>
      <c r="BC26" s="410" t="s">
        <v>33</v>
      </c>
      <c r="BD26" s="410" t="s">
        <v>33</v>
      </c>
      <c r="BE26" s="410" t="s">
        <v>33</v>
      </c>
      <c r="BF26" s="410" t="s">
        <v>33</v>
      </c>
      <c r="BG26" s="410" t="s">
        <v>33</v>
      </c>
      <c r="BH26" s="410" t="s">
        <v>33</v>
      </c>
      <c r="BI26" s="410" t="s">
        <v>33</v>
      </c>
      <c r="BJ26" s="410"/>
      <c r="BK26" s="410" t="s">
        <v>33</v>
      </c>
      <c r="BL26" s="410" t="s">
        <v>33</v>
      </c>
      <c r="BM26" s="410" t="s">
        <v>33</v>
      </c>
      <c r="BN26" s="410" t="s">
        <v>33</v>
      </c>
      <c r="BO26" s="410" t="s">
        <v>33</v>
      </c>
      <c r="BP26" s="410" t="s">
        <v>33</v>
      </c>
      <c r="BQ26" s="410" t="s">
        <v>33</v>
      </c>
      <c r="BR26" s="410" t="s">
        <v>33</v>
      </c>
      <c r="BS26" s="410" t="s">
        <v>33</v>
      </c>
      <c r="BT26" s="410" t="s">
        <v>33</v>
      </c>
      <c r="BU26" s="410" t="s">
        <v>33</v>
      </c>
      <c r="BV26" s="410" t="s">
        <v>33</v>
      </c>
      <c r="BW26" s="410">
        <f>Q26</f>
        <v>1.0014526604979119</v>
      </c>
      <c r="BX26" s="410" t="str">
        <f>AJ26</f>
        <v>нд</v>
      </c>
      <c r="BY26" s="410" t="s">
        <v>33</v>
      </c>
      <c r="BZ26" s="410">
        <f>AV26</f>
        <v>1.0014526604979119</v>
      </c>
      <c r="CA26" s="410" t="s">
        <v>33</v>
      </c>
      <c r="CB26" s="410">
        <f>AX26</f>
        <v>1.120891957584</v>
      </c>
      <c r="CC26" s="410" t="str">
        <f t="shared" ref="CC26:CF28" si="97">AY26</f>
        <v>нд</v>
      </c>
      <c r="CD26" s="410" t="str">
        <f t="shared" si="97"/>
        <v>нд</v>
      </c>
      <c r="CE26" s="410">
        <f t="shared" si="97"/>
        <v>1.120891957584</v>
      </c>
      <c r="CF26" s="410" t="str">
        <f t="shared" si="97"/>
        <v>нд</v>
      </c>
      <c r="CG26" s="614" t="s">
        <v>1362</v>
      </c>
    </row>
    <row r="27" spans="1:85" s="468" customFormat="1" x14ac:dyDescent="0.25">
      <c r="A27" s="13" t="s">
        <v>580</v>
      </c>
      <c r="B27" s="236" t="s">
        <v>652</v>
      </c>
      <c r="C27" s="410" t="s">
        <v>1350</v>
      </c>
      <c r="D27" s="410" t="s">
        <v>97</v>
      </c>
      <c r="E27" s="401">
        <v>2024</v>
      </c>
      <c r="F27" s="401">
        <v>2024</v>
      </c>
      <c r="G27" s="401">
        <v>2024</v>
      </c>
      <c r="H27" s="407">
        <v>0.92483199999999999</v>
      </c>
      <c r="I27" s="407">
        <f t="shared" si="93"/>
        <v>0.92483199999999999</v>
      </c>
      <c r="J27" s="406" t="s">
        <v>1355</v>
      </c>
      <c r="K27" s="407">
        <f>0.9298472*1.2</f>
        <v>1.11581664</v>
      </c>
      <c r="L27" s="410">
        <f>K27</f>
        <v>1.11581664</v>
      </c>
      <c r="M27" s="411" t="s">
        <v>1358</v>
      </c>
      <c r="N27" s="410" t="s">
        <v>33</v>
      </c>
      <c r="O27" s="410" t="s">
        <v>33</v>
      </c>
      <c r="P27" s="410">
        <f t="shared" si="94"/>
        <v>0.92483199999999999</v>
      </c>
      <c r="Q27" s="410">
        <f>P27*Ф17!E15*Ф17!F15*Ф17!G15</f>
        <v>1.0463225982222719</v>
      </c>
      <c r="R27" s="410">
        <f>L27</f>
        <v>1.11581664</v>
      </c>
      <c r="S27" s="410">
        <f>R27*1.043</f>
        <v>1.1637967555199999</v>
      </c>
      <c r="T27" s="410">
        <f t="shared" si="95"/>
        <v>1.0463225982222719</v>
      </c>
      <c r="U27" s="410">
        <f t="shared" si="91"/>
        <v>1.1637967555199999</v>
      </c>
      <c r="V27" s="410" t="s">
        <v>33</v>
      </c>
      <c r="W27" s="410" t="s">
        <v>33</v>
      </c>
      <c r="X27" s="410" t="s">
        <v>33</v>
      </c>
      <c r="Y27" s="410" t="s">
        <v>33</v>
      </c>
      <c r="Z27" s="410" t="s">
        <v>33</v>
      </c>
      <c r="AA27" s="410" t="s">
        <v>33</v>
      </c>
      <c r="AB27" s="410" t="s">
        <v>33</v>
      </c>
      <c r="AC27" s="410" t="s">
        <v>33</v>
      </c>
      <c r="AD27" s="410" t="s">
        <v>33</v>
      </c>
      <c r="AE27" s="410" t="s">
        <v>33</v>
      </c>
      <c r="AF27" s="410" t="s">
        <v>33</v>
      </c>
      <c r="AG27" s="410" t="s">
        <v>33</v>
      </c>
      <c r="AH27" s="410" t="s">
        <v>33</v>
      </c>
      <c r="AI27" s="410" t="s">
        <v>33</v>
      </c>
      <c r="AJ27" s="410" t="s">
        <v>33</v>
      </c>
      <c r="AK27" s="410" t="s">
        <v>33</v>
      </c>
      <c r="AL27" s="410" t="s">
        <v>33</v>
      </c>
      <c r="AM27" s="410" t="s">
        <v>33</v>
      </c>
      <c r="AN27" s="410" t="s">
        <v>33</v>
      </c>
      <c r="AO27" s="410" t="s">
        <v>33</v>
      </c>
      <c r="AP27" s="410" t="s">
        <v>33</v>
      </c>
      <c r="AQ27" s="410" t="s">
        <v>33</v>
      </c>
      <c r="AR27" s="410" t="s">
        <v>33</v>
      </c>
      <c r="AS27" s="410">
        <f t="shared" si="96"/>
        <v>1.0463225982222719</v>
      </c>
      <c r="AT27" s="410" t="s">
        <v>33</v>
      </c>
      <c r="AU27" s="410" t="s">
        <v>33</v>
      </c>
      <c r="AV27" s="410">
        <f>AS27</f>
        <v>1.0463225982222719</v>
      </c>
      <c r="AW27" s="410" t="s">
        <v>33</v>
      </c>
      <c r="AX27" s="410">
        <f>U27</f>
        <v>1.1637967555199999</v>
      </c>
      <c r="AY27" s="410" t="s">
        <v>33</v>
      </c>
      <c r="AZ27" s="410" t="s">
        <v>33</v>
      </c>
      <c r="BA27" s="410">
        <f t="shared" ref="BA27:BA28" si="98">AX27</f>
        <v>1.1637967555199999</v>
      </c>
      <c r="BB27" s="410" t="s">
        <v>33</v>
      </c>
      <c r="BC27" s="410" t="s">
        <v>33</v>
      </c>
      <c r="BD27" s="410" t="s">
        <v>33</v>
      </c>
      <c r="BE27" s="410" t="s">
        <v>33</v>
      </c>
      <c r="BF27" s="410" t="s">
        <v>33</v>
      </c>
      <c r="BG27" s="410" t="s">
        <v>33</v>
      </c>
      <c r="BH27" s="410" t="s">
        <v>33</v>
      </c>
      <c r="BI27" s="410" t="s">
        <v>33</v>
      </c>
      <c r="BJ27" s="410" t="s">
        <v>33</v>
      </c>
      <c r="BK27" s="410" t="s">
        <v>33</v>
      </c>
      <c r="BL27" s="410" t="s">
        <v>33</v>
      </c>
      <c r="BM27" s="410" t="s">
        <v>33</v>
      </c>
      <c r="BN27" s="410" t="s">
        <v>33</v>
      </c>
      <c r="BO27" s="410" t="s">
        <v>33</v>
      </c>
      <c r="BP27" s="410" t="s">
        <v>33</v>
      </c>
      <c r="BQ27" s="410" t="s">
        <v>33</v>
      </c>
      <c r="BR27" s="410" t="s">
        <v>33</v>
      </c>
      <c r="BS27" s="410" t="s">
        <v>33</v>
      </c>
      <c r="BT27" s="410" t="s">
        <v>33</v>
      </c>
      <c r="BU27" s="410" t="s">
        <v>33</v>
      </c>
      <c r="BV27" s="410" t="s">
        <v>33</v>
      </c>
      <c r="BW27" s="410">
        <f>Q27</f>
        <v>1.0463225982222719</v>
      </c>
      <c r="BX27" s="410" t="str">
        <f>AJ27</f>
        <v>нд</v>
      </c>
      <c r="BY27" s="410" t="s">
        <v>33</v>
      </c>
      <c r="BZ27" s="410">
        <f>AV27</f>
        <v>1.0463225982222719</v>
      </c>
      <c r="CA27" s="410" t="s">
        <v>33</v>
      </c>
      <c r="CB27" s="410">
        <f t="shared" ref="CB27:CB28" si="99">AX27</f>
        <v>1.1637967555199999</v>
      </c>
      <c r="CC27" s="410" t="str">
        <f t="shared" si="97"/>
        <v>нд</v>
      </c>
      <c r="CD27" s="410" t="str">
        <f t="shared" si="97"/>
        <v>нд</v>
      </c>
      <c r="CE27" s="410">
        <f t="shared" si="97"/>
        <v>1.1637967555199999</v>
      </c>
      <c r="CF27" s="410" t="str">
        <f t="shared" si="97"/>
        <v>нд</v>
      </c>
      <c r="CG27" s="615"/>
    </row>
    <row r="28" spans="1:85" s="468" customFormat="1" ht="31.5" x14ac:dyDescent="0.25">
      <c r="A28" s="13" t="s">
        <v>581</v>
      </c>
      <c r="B28" s="236" t="s">
        <v>1340</v>
      </c>
      <c r="C28" s="410" t="s">
        <v>1351</v>
      </c>
      <c r="D28" s="410" t="s">
        <v>97</v>
      </c>
      <c r="E28" s="401">
        <v>2024</v>
      </c>
      <c r="F28" s="401">
        <v>2024</v>
      </c>
      <c r="G28" s="401">
        <v>2024</v>
      </c>
      <c r="H28" s="408">
        <v>0</v>
      </c>
      <c r="I28" s="408">
        <f>H28</f>
        <v>0</v>
      </c>
      <c r="J28" s="401" t="s">
        <v>33</v>
      </c>
      <c r="K28" s="407">
        <f>8.25541628*1.2</f>
        <v>9.9064995360000001</v>
      </c>
      <c r="L28" s="410">
        <f>K28</f>
        <v>9.9064995360000001</v>
      </c>
      <c r="M28" s="411" t="s">
        <v>1358</v>
      </c>
      <c r="N28" s="410" t="s">
        <v>33</v>
      </c>
      <c r="O28" s="410" t="s">
        <v>33</v>
      </c>
      <c r="P28" s="411">
        <v>0</v>
      </c>
      <c r="Q28" s="411">
        <f>P28*Ф17!E22*Ф17!F22*Ф17!G22*Ф17!H22</f>
        <v>0</v>
      </c>
      <c r="R28" s="410">
        <f>K28</f>
        <v>9.9064995360000001</v>
      </c>
      <c r="S28" s="410">
        <f>R28*1.043</f>
        <v>10.332479016048</v>
      </c>
      <c r="T28" s="410">
        <f>Q28</f>
        <v>0</v>
      </c>
      <c r="U28" s="410">
        <f t="shared" si="91"/>
        <v>10.332479016048</v>
      </c>
      <c r="V28" s="410" t="s">
        <v>33</v>
      </c>
      <c r="W28" s="410" t="s">
        <v>33</v>
      </c>
      <c r="X28" s="410" t="s">
        <v>33</v>
      </c>
      <c r="Y28" s="410" t="s">
        <v>33</v>
      </c>
      <c r="Z28" s="410" t="s">
        <v>33</v>
      </c>
      <c r="AA28" s="410" t="s">
        <v>33</v>
      </c>
      <c r="AB28" s="410" t="s">
        <v>33</v>
      </c>
      <c r="AC28" s="410" t="s">
        <v>33</v>
      </c>
      <c r="AD28" s="410" t="s">
        <v>33</v>
      </c>
      <c r="AE28" s="410" t="s">
        <v>33</v>
      </c>
      <c r="AF28" s="410" t="s">
        <v>33</v>
      </c>
      <c r="AG28" s="410" t="s">
        <v>33</v>
      </c>
      <c r="AH28" s="410" t="s">
        <v>33</v>
      </c>
      <c r="AI28" s="410" t="s">
        <v>33</v>
      </c>
      <c r="AJ28" s="410" t="s">
        <v>33</v>
      </c>
      <c r="AK28" s="410" t="s">
        <v>33</v>
      </c>
      <c r="AL28" s="410" t="s">
        <v>33</v>
      </c>
      <c r="AM28" s="410" t="s">
        <v>33</v>
      </c>
      <c r="AN28" s="410" t="s">
        <v>33</v>
      </c>
      <c r="AO28" s="410" t="s">
        <v>33</v>
      </c>
      <c r="AP28" s="410" t="s">
        <v>33</v>
      </c>
      <c r="AQ28" s="410" t="s">
        <v>33</v>
      </c>
      <c r="AR28" s="410" t="s">
        <v>33</v>
      </c>
      <c r="AS28" s="410" t="s">
        <v>33</v>
      </c>
      <c r="AT28" s="410" t="s">
        <v>33</v>
      </c>
      <c r="AU28" s="410" t="s">
        <v>33</v>
      </c>
      <c r="AV28" s="410" t="s">
        <v>33</v>
      </c>
      <c r="AW28" s="410" t="s">
        <v>33</v>
      </c>
      <c r="AX28" s="410">
        <f>U28</f>
        <v>10.332479016048</v>
      </c>
      <c r="AY28" s="410" t="s">
        <v>33</v>
      </c>
      <c r="AZ28" s="410" t="s">
        <v>33</v>
      </c>
      <c r="BA28" s="410">
        <f t="shared" si="98"/>
        <v>10.332479016048</v>
      </c>
      <c r="BB28" s="410" t="s">
        <v>33</v>
      </c>
      <c r="BC28" s="410" t="s">
        <v>33</v>
      </c>
      <c r="BD28" s="410" t="s">
        <v>33</v>
      </c>
      <c r="BE28" s="410" t="s">
        <v>33</v>
      </c>
      <c r="BF28" s="410" t="s">
        <v>33</v>
      </c>
      <c r="BG28" s="410" t="s">
        <v>33</v>
      </c>
      <c r="BH28" s="410" t="s">
        <v>33</v>
      </c>
      <c r="BI28" s="410" t="s">
        <v>33</v>
      </c>
      <c r="BJ28" s="410" t="s">
        <v>33</v>
      </c>
      <c r="BK28" s="410" t="s">
        <v>33</v>
      </c>
      <c r="BL28" s="410" t="s">
        <v>33</v>
      </c>
      <c r="BM28" s="410" t="s">
        <v>33</v>
      </c>
      <c r="BN28" s="410" t="s">
        <v>33</v>
      </c>
      <c r="BO28" s="410" t="s">
        <v>33</v>
      </c>
      <c r="BP28" s="410" t="s">
        <v>33</v>
      </c>
      <c r="BQ28" s="410" t="s">
        <v>33</v>
      </c>
      <c r="BR28" s="410" t="s">
        <v>33</v>
      </c>
      <c r="BS28" s="410" t="s">
        <v>33</v>
      </c>
      <c r="BT28" s="410" t="s">
        <v>33</v>
      </c>
      <c r="BU28" s="410" t="s">
        <v>33</v>
      </c>
      <c r="BV28" s="410" t="s">
        <v>33</v>
      </c>
      <c r="BW28" s="410" t="s">
        <v>33</v>
      </c>
      <c r="BX28" s="410" t="s">
        <v>33</v>
      </c>
      <c r="BY28" s="410" t="s">
        <v>33</v>
      </c>
      <c r="BZ28" s="410" t="s">
        <v>33</v>
      </c>
      <c r="CA28" s="410" t="s">
        <v>33</v>
      </c>
      <c r="CB28" s="410">
        <f t="shared" si="99"/>
        <v>10.332479016048</v>
      </c>
      <c r="CC28" s="410" t="str">
        <f t="shared" si="97"/>
        <v>нд</v>
      </c>
      <c r="CD28" s="410" t="str">
        <f t="shared" si="97"/>
        <v>нд</v>
      </c>
      <c r="CE28" s="410">
        <f t="shared" si="97"/>
        <v>10.332479016048</v>
      </c>
      <c r="CF28" s="410" t="str">
        <f t="shared" si="97"/>
        <v>нд</v>
      </c>
      <c r="CG28" s="428" t="s">
        <v>1364</v>
      </c>
    </row>
    <row r="29" spans="1:85" s="468" customFormat="1" ht="47.25" x14ac:dyDescent="0.25">
      <c r="A29" s="13" t="s">
        <v>581</v>
      </c>
      <c r="B29" s="236" t="s">
        <v>653</v>
      </c>
      <c r="C29" s="410" t="s">
        <v>640</v>
      </c>
      <c r="D29" s="410" t="s">
        <v>97</v>
      </c>
      <c r="E29" s="401">
        <v>2025</v>
      </c>
      <c r="F29" s="401">
        <v>2025</v>
      </c>
      <c r="G29" s="401" t="s">
        <v>33</v>
      </c>
      <c r="H29" s="407">
        <v>1.8342809999999998</v>
      </c>
      <c r="I29" s="407">
        <f t="shared" si="93"/>
        <v>1.8342809999999998</v>
      </c>
      <c r="J29" s="406" t="s">
        <v>1355</v>
      </c>
      <c r="K29" s="407">
        <f>H29</f>
        <v>1.8342809999999998</v>
      </c>
      <c r="L29" s="410">
        <f>K29</f>
        <v>1.8342809999999998</v>
      </c>
      <c r="M29" s="410" t="s">
        <v>33</v>
      </c>
      <c r="N29" s="410" t="s">
        <v>33</v>
      </c>
      <c r="O29" s="410" t="s">
        <v>33</v>
      </c>
      <c r="P29" s="410">
        <f t="shared" si="94"/>
        <v>1.8342809999999998</v>
      </c>
      <c r="Q29" s="410">
        <f>P29*Ф17!E15*Ф17!F15*Ф17!G15*Ф17!H15</f>
        <v>2.1603263056675441</v>
      </c>
      <c r="R29" s="410">
        <f>L29</f>
        <v>1.8342809999999998</v>
      </c>
      <c r="S29" s="410">
        <f>Q29</f>
        <v>2.1603263056675441</v>
      </c>
      <c r="T29" s="410">
        <f t="shared" si="95"/>
        <v>2.1603263056675441</v>
      </c>
      <c r="U29" s="410">
        <f t="shared" si="91"/>
        <v>2.1603263056675441</v>
      </c>
      <c r="V29" s="410" t="s">
        <v>33</v>
      </c>
      <c r="W29" s="410" t="s">
        <v>33</v>
      </c>
      <c r="X29" s="410" t="s">
        <v>33</v>
      </c>
      <c r="Y29" s="410" t="s">
        <v>33</v>
      </c>
      <c r="Z29" s="410" t="s">
        <v>33</v>
      </c>
      <c r="AA29" s="410" t="s">
        <v>33</v>
      </c>
      <c r="AB29" s="410" t="s">
        <v>33</v>
      </c>
      <c r="AC29" s="410" t="s">
        <v>33</v>
      </c>
      <c r="AD29" s="410" t="s">
        <v>33</v>
      </c>
      <c r="AE29" s="410" t="s">
        <v>33</v>
      </c>
      <c r="AF29" s="410" t="s">
        <v>33</v>
      </c>
      <c r="AG29" s="410" t="s">
        <v>33</v>
      </c>
      <c r="AH29" s="410" t="s">
        <v>33</v>
      </c>
      <c r="AI29" s="410" t="s">
        <v>33</v>
      </c>
      <c r="AJ29" s="410" t="s">
        <v>33</v>
      </c>
      <c r="AK29" s="410" t="s">
        <v>33</v>
      </c>
      <c r="AL29" s="410" t="s">
        <v>33</v>
      </c>
      <c r="AM29" s="410" t="s">
        <v>33</v>
      </c>
      <c r="AN29" s="410" t="s">
        <v>33</v>
      </c>
      <c r="AO29" s="410" t="s">
        <v>33</v>
      </c>
      <c r="AP29" s="410" t="s">
        <v>33</v>
      </c>
      <c r="AQ29" s="410" t="s">
        <v>33</v>
      </c>
      <c r="AR29" s="410" t="s">
        <v>33</v>
      </c>
      <c r="AS29" s="410" t="s">
        <v>33</v>
      </c>
      <c r="AT29" s="410" t="s">
        <v>33</v>
      </c>
      <c r="AU29" s="410" t="s">
        <v>33</v>
      </c>
      <c r="AV29" s="410" t="s">
        <v>33</v>
      </c>
      <c r="AW29" s="410" t="s">
        <v>33</v>
      </c>
      <c r="AX29" s="410" t="s">
        <v>33</v>
      </c>
      <c r="AY29" s="410" t="s">
        <v>33</v>
      </c>
      <c r="AZ29" s="410" t="s">
        <v>33</v>
      </c>
      <c r="BA29" s="410" t="s">
        <v>33</v>
      </c>
      <c r="BB29" s="410" t="s">
        <v>33</v>
      </c>
      <c r="BC29" s="410">
        <f t="shared" ref="BC29" si="100">IF(E29=2025,T29,0)</f>
        <v>2.1603263056675441</v>
      </c>
      <c r="BD29" s="410" t="s">
        <v>33</v>
      </c>
      <c r="BE29" s="410" t="s">
        <v>33</v>
      </c>
      <c r="BF29" s="410">
        <f>BC29</f>
        <v>2.1603263056675441</v>
      </c>
      <c r="BG29" s="410" t="s">
        <v>33</v>
      </c>
      <c r="BH29" s="410">
        <f>BC29</f>
        <v>2.1603263056675441</v>
      </c>
      <c r="BI29" s="410" t="s">
        <v>33</v>
      </c>
      <c r="BJ29" s="410" t="s">
        <v>33</v>
      </c>
      <c r="BK29" s="410">
        <f>BF29</f>
        <v>2.1603263056675441</v>
      </c>
      <c r="BL29" s="410" t="s">
        <v>33</v>
      </c>
      <c r="BM29" s="410" t="s">
        <v>33</v>
      </c>
      <c r="BN29" s="410" t="s">
        <v>33</v>
      </c>
      <c r="BO29" s="410" t="s">
        <v>33</v>
      </c>
      <c r="BP29" s="410" t="s">
        <v>33</v>
      </c>
      <c r="BQ29" s="410" t="s">
        <v>33</v>
      </c>
      <c r="BR29" s="410" t="s">
        <v>33</v>
      </c>
      <c r="BS29" s="410" t="s">
        <v>33</v>
      </c>
      <c r="BT29" s="410" t="s">
        <v>33</v>
      </c>
      <c r="BU29" s="410" t="s">
        <v>33</v>
      </c>
      <c r="BV29" s="410" t="s">
        <v>33</v>
      </c>
      <c r="BW29" s="410">
        <f>Q29</f>
        <v>2.1603263056675441</v>
      </c>
      <c r="BX29" s="410" t="str">
        <f>AJ29</f>
        <v>нд</v>
      </c>
      <c r="BY29" s="410" t="s">
        <v>33</v>
      </c>
      <c r="BZ29" s="410">
        <f>BF29</f>
        <v>2.1603263056675441</v>
      </c>
      <c r="CA29" s="410" t="s">
        <v>33</v>
      </c>
      <c r="CB29" s="410">
        <f>BH29</f>
        <v>2.1603263056675441</v>
      </c>
      <c r="CC29" s="410" t="str">
        <f t="shared" ref="CC29:CF29" si="101">BI29</f>
        <v>нд</v>
      </c>
      <c r="CD29" s="410" t="str">
        <f t="shared" si="101"/>
        <v>нд</v>
      </c>
      <c r="CE29" s="410">
        <f t="shared" si="101"/>
        <v>2.1603263056675441</v>
      </c>
      <c r="CF29" s="410" t="str">
        <f t="shared" si="101"/>
        <v>нд</v>
      </c>
      <c r="CG29" s="401" t="s">
        <v>33</v>
      </c>
    </row>
    <row r="30" spans="1:85" s="465" customFormat="1" ht="31.5" x14ac:dyDescent="0.25">
      <c r="A30" s="23" t="s">
        <v>68</v>
      </c>
      <c r="B30" s="39" t="s">
        <v>69</v>
      </c>
      <c r="C30" s="463" t="str">
        <f>C31</f>
        <v>нд</v>
      </c>
      <c r="D30" s="463" t="str">
        <f t="shared" ref="D30:G30" si="102">D31</f>
        <v>нд</v>
      </c>
      <c r="E30" s="463" t="str">
        <f t="shared" si="102"/>
        <v>нд</v>
      </c>
      <c r="F30" s="463" t="str">
        <f t="shared" si="102"/>
        <v>нд</v>
      </c>
      <c r="G30" s="463" t="str">
        <f t="shared" si="102"/>
        <v>нд</v>
      </c>
      <c r="H30" s="464">
        <f>H31</f>
        <v>29.228720000000003</v>
      </c>
      <c r="I30" s="464">
        <f t="shared" ref="I30:BU30" si="103">I31</f>
        <v>29.228720000000003</v>
      </c>
      <c r="J30" s="463" t="str">
        <f t="shared" si="103"/>
        <v>нд</v>
      </c>
      <c r="K30" s="464">
        <f t="shared" si="103"/>
        <v>20.021284000000001</v>
      </c>
      <c r="L30" s="463">
        <f t="shared" si="103"/>
        <v>20.021284000000001</v>
      </c>
      <c r="M30" s="463" t="str">
        <f t="shared" si="103"/>
        <v>нд</v>
      </c>
      <c r="N30" s="463" t="str">
        <f t="shared" si="103"/>
        <v>нд</v>
      </c>
      <c r="O30" s="463" t="str">
        <f t="shared" si="103"/>
        <v>нд</v>
      </c>
      <c r="P30" s="463">
        <f t="shared" si="103"/>
        <v>29.228720000000003</v>
      </c>
      <c r="Q30" s="463">
        <f t="shared" si="103"/>
        <v>32.627272272063315</v>
      </c>
      <c r="R30" s="463">
        <f t="shared" si="103"/>
        <v>20.021284000000001</v>
      </c>
      <c r="S30" s="463">
        <f t="shared" si="103"/>
        <v>22.390124307712433</v>
      </c>
      <c r="T30" s="463">
        <f t="shared" si="103"/>
        <v>32.627272272063315</v>
      </c>
      <c r="U30" s="463">
        <f t="shared" si="103"/>
        <v>22.390124307712433</v>
      </c>
      <c r="V30" s="463" t="str">
        <f t="shared" si="103"/>
        <v>нд</v>
      </c>
      <c r="W30" s="463" t="str">
        <f t="shared" si="103"/>
        <v>нд</v>
      </c>
      <c r="X30" s="463" t="str">
        <f t="shared" si="103"/>
        <v>нд</v>
      </c>
      <c r="Y30" s="463">
        <f t="shared" si="103"/>
        <v>9.6665412620000009</v>
      </c>
      <c r="Z30" s="463" t="str">
        <f t="shared" si="103"/>
        <v>нд</v>
      </c>
      <c r="AA30" s="463" t="str">
        <f t="shared" si="103"/>
        <v>нд</v>
      </c>
      <c r="AB30" s="463">
        <f t="shared" si="103"/>
        <v>8.1010000000000009</v>
      </c>
      <c r="AC30" s="463">
        <f t="shared" si="103"/>
        <v>1.565541262</v>
      </c>
      <c r="AD30" s="463">
        <f t="shared" si="103"/>
        <v>9.6665412620000009</v>
      </c>
      <c r="AE30" s="463" t="str">
        <f t="shared" si="103"/>
        <v>нд</v>
      </c>
      <c r="AF30" s="463" t="str">
        <f t="shared" si="103"/>
        <v>нд</v>
      </c>
      <c r="AG30" s="463">
        <f t="shared" si="103"/>
        <v>8.1010000000000009</v>
      </c>
      <c r="AH30" s="463">
        <f t="shared" si="103"/>
        <v>1.565541262</v>
      </c>
      <c r="AI30" s="463">
        <f t="shared" si="103"/>
        <v>7.0653345004479995</v>
      </c>
      <c r="AJ30" s="463" t="str">
        <f t="shared" si="103"/>
        <v>нд</v>
      </c>
      <c r="AK30" s="463" t="str">
        <f t="shared" si="103"/>
        <v>нд</v>
      </c>
      <c r="AL30" s="463">
        <f t="shared" si="103"/>
        <v>7.0653345004479995</v>
      </c>
      <c r="AM30" s="463" t="str">
        <f t="shared" si="103"/>
        <v>нд</v>
      </c>
      <c r="AN30" s="463" t="str">
        <f t="shared" si="103"/>
        <v>нд</v>
      </c>
      <c r="AO30" s="463" t="str">
        <f t="shared" si="103"/>
        <v>нд</v>
      </c>
      <c r="AP30" s="463" t="str">
        <f t="shared" si="103"/>
        <v>нд</v>
      </c>
      <c r="AQ30" s="463" t="str">
        <f t="shared" si="103"/>
        <v>нд</v>
      </c>
      <c r="AR30" s="463" t="str">
        <f t="shared" si="103"/>
        <v>нд</v>
      </c>
      <c r="AS30" s="463">
        <f t="shared" si="103"/>
        <v>4.4684710639028875</v>
      </c>
      <c r="AT30" s="463" t="str">
        <f t="shared" si="103"/>
        <v>нд</v>
      </c>
      <c r="AU30" s="463" t="str">
        <f t="shared" si="103"/>
        <v>нд</v>
      </c>
      <c r="AV30" s="463">
        <f t="shared" si="103"/>
        <v>4.4684710639028875</v>
      </c>
      <c r="AW30" s="463" t="str">
        <f t="shared" si="103"/>
        <v>нд</v>
      </c>
      <c r="AX30" s="463">
        <f t="shared" si="103"/>
        <v>1.2966576000000001</v>
      </c>
      <c r="AY30" s="463" t="str">
        <f t="shared" si="103"/>
        <v>нд</v>
      </c>
      <c r="AZ30" s="463" t="str">
        <f t="shared" si="103"/>
        <v>нд</v>
      </c>
      <c r="BA30" s="463">
        <f t="shared" si="103"/>
        <v>1.2966576000000001</v>
      </c>
      <c r="BB30" s="463" t="str">
        <f t="shared" si="103"/>
        <v>нд</v>
      </c>
      <c r="BC30" s="463">
        <f t="shared" si="103"/>
        <v>5.4117399936888866</v>
      </c>
      <c r="BD30" s="463" t="str">
        <f t="shared" si="103"/>
        <v>нд</v>
      </c>
      <c r="BE30" s="463" t="str">
        <f t="shared" si="103"/>
        <v>нд</v>
      </c>
      <c r="BF30" s="463">
        <f t="shared" si="103"/>
        <v>5.4117399936888866</v>
      </c>
      <c r="BG30" s="463" t="str">
        <f t="shared" si="103"/>
        <v>нд</v>
      </c>
      <c r="BH30" s="463">
        <f t="shared" si="103"/>
        <v>5.4117399936888866</v>
      </c>
      <c r="BI30" s="463" t="str">
        <f t="shared" si="103"/>
        <v>нд</v>
      </c>
      <c r="BJ30" s="463" t="str">
        <f t="shared" si="103"/>
        <v>нд</v>
      </c>
      <c r="BK30" s="463">
        <f t="shared" si="103"/>
        <v>5.4117399936888866</v>
      </c>
      <c r="BL30" s="463" t="str">
        <f t="shared" si="103"/>
        <v>нд</v>
      </c>
      <c r="BM30" s="463">
        <f t="shared" si="103"/>
        <v>6.0151854520235437</v>
      </c>
      <c r="BN30" s="463" t="str">
        <f t="shared" si="103"/>
        <v>нд</v>
      </c>
      <c r="BO30" s="463" t="str">
        <f t="shared" si="103"/>
        <v>нд</v>
      </c>
      <c r="BP30" s="463">
        <f t="shared" si="103"/>
        <v>6.0151854520235437</v>
      </c>
      <c r="BQ30" s="463" t="str">
        <f t="shared" si="103"/>
        <v>нд</v>
      </c>
      <c r="BR30" s="463">
        <f t="shared" si="103"/>
        <v>6.0151854520235437</v>
      </c>
      <c r="BS30" s="463" t="str">
        <f t="shared" si="103"/>
        <v>нд</v>
      </c>
      <c r="BT30" s="463" t="str">
        <f t="shared" si="103"/>
        <v>нд</v>
      </c>
      <c r="BU30" s="463">
        <f t="shared" si="103"/>
        <v>6.0151854520235437</v>
      </c>
      <c r="BV30" s="463" t="str">
        <f t="shared" ref="BV30" si="104">BV31</f>
        <v>нд</v>
      </c>
      <c r="BW30" s="463">
        <f t="shared" ref="BW30:CF30" si="105">BW31</f>
        <v>32.627272272063315</v>
      </c>
      <c r="BX30" s="463" t="str">
        <f>BX31</f>
        <v>нд</v>
      </c>
      <c r="BY30" s="463" t="str">
        <f>BY31</f>
        <v>нд</v>
      </c>
      <c r="BZ30" s="463">
        <f t="shared" si="105"/>
        <v>31.061731010063319</v>
      </c>
      <c r="CA30" s="463">
        <f t="shared" si="105"/>
        <v>1.565541262</v>
      </c>
      <c r="CB30" s="463">
        <f t="shared" si="105"/>
        <v>22.390124307712433</v>
      </c>
      <c r="CC30" s="463" t="str">
        <f t="shared" ref="CC30:CG30" si="106">CC31</f>
        <v>нд</v>
      </c>
      <c r="CD30" s="463" t="str">
        <f t="shared" si="105"/>
        <v>нд</v>
      </c>
      <c r="CE30" s="463">
        <f t="shared" si="105"/>
        <v>20.82458304571243</v>
      </c>
      <c r="CF30" s="463">
        <f t="shared" si="105"/>
        <v>1.565541262</v>
      </c>
      <c r="CG30" s="463" t="str">
        <f t="shared" si="106"/>
        <v>нд</v>
      </c>
    </row>
    <row r="31" spans="1:85" s="472" customFormat="1" ht="30" customHeight="1" outlineLevel="1" x14ac:dyDescent="0.25">
      <c r="A31" s="13" t="s">
        <v>70</v>
      </c>
      <c r="B31" s="10" t="s">
        <v>71</v>
      </c>
      <c r="C31" s="470" t="s">
        <v>33</v>
      </c>
      <c r="D31" s="470" t="s">
        <v>33</v>
      </c>
      <c r="E31" s="470" t="s">
        <v>33</v>
      </c>
      <c r="F31" s="470" t="s">
        <v>33</v>
      </c>
      <c r="G31" s="470" t="s">
        <v>33</v>
      </c>
      <c r="H31" s="471">
        <f>SUM(H32:H37)</f>
        <v>29.228720000000003</v>
      </c>
      <c r="I31" s="471">
        <f>SUM(I32:I37)</f>
        <v>29.228720000000003</v>
      </c>
      <c r="J31" s="470" t="s">
        <v>33</v>
      </c>
      <c r="K31" s="471">
        <f t="shared" ref="K31:L31" si="107">SUM(K32:K37)</f>
        <v>20.021284000000001</v>
      </c>
      <c r="L31" s="470">
        <f t="shared" si="107"/>
        <v>20.021284000000001</v>
      </c>
      <c r="M31" s="470" t="s">
        <v>33</v>
      </c>
      <c r="N31" s="470" t="s">
        <v>33</v>
      </c>
      <c r="O31" s="470" t="s">
        <v>33</v>
      </c>
      <c r="P31" s="470">
        <f t="shared" ref="P31:BP31" si="108">SUM(P32:P37)</f>
        <v>29.228720000000003</v>
      </c>
      <c r="Q31" s="470">
        <f t="shared" si="108"/>
        <v>32.627272272063315</v>
      </c>
      <c r="R31" s="470">
        <f t="shared" ref="R31:S31" si="109">SUM(R32:R37)</f>
        <v>20.021284000000001</v>
      </c>
      <c r="S31" s="470">
        <f t="shared" si="109"/>
        <v>22.390124307712433</v>
      </c>
      <c r="T31" s="470">
        <f t="shared" si="108"/>
        <v>32.627272272063315</v>
      </c>
      <c r="U31" s="470">
        <f t="shared" ref="U31" si="110">SUM(U32:U37)</f>
        <v>22.390124307712433</v>
      </c>
      <c r="V31" s="470" t="s">
        <v>33</v>
      </c>
      <c r="W31" s="470" t="s">
        <v>33</v>
      </c>
      <c r="X31" s="470" t="s">
        <v>33</v>
      </c>
      <c r="Y31" s="470">
        <f t="shared" si="108"/>
        <v>9.6665412620000009</v>
      </c>
      <c r="Z31" s="470" t="s">
        <v>33</v>
      </c>
      <c r="AA31" s="470" t="s">
        <v>33</v>
      </c>
      <c r="AB31" s="470">
        <f t="shared" si="108"/>
        <v>8.1010000000000009</v>
      </c>
      <c r="AC31" s="470">
        <f t="shared" si="108"/>
        <v>1.565541262</v>
      </c>
      <c r="AD31" s="470">
        <f t="shared" ref="AD31" si="111">SUM(AD32:AD37)</f>
        <v>9.6665412620000009</v>
      </c>
      <c r="AE31" s="470" t="s">
        <v>33</v>
      </c>
      <c r="AF31" s="470" t="s">
        <v>33</v>
      </c>
      <c r="AG31" s="470">
        <f t="shared" ref="AG31:AH31" si="112">SUM(AG32:AG37)</f>
        <v>8.1010000000000009</v>
      </c>
      <c r="AH31" s="470">
        <f t="shared" si="112"/>
        <v>1.565541262</v>
      </c>
      <c r="AI31" s="470">
        <f t="shared" si="108"/>
        <v>7.0653345004479995</v>
      </c>
      <c r="AJ31" s="470" t="s">
        <v>33</v>
      </c>
      <c r="AK31" s="470" t="s">
        <v>33</v>
      </c>
      <c r="AL31" s="470">
        <f t="shared" si="108"/>
        <v>7.0653345004479995</v>
      </c>
      <c r="AM31" s="470" t="s">
        <v>33</v>
      </c>
      <c r="AN31" s="470" t="s">
        <v>33</v>
      </c>
      <c r="AO31" s="470" t="s">
        <v>33</v>
      </c>
      <c r="AP31" s="470" t="s">
        <v>33</v>
      </c>
      <c r="AQ31" s="470" t="s">
        <v>33</v>
      </c>
      <c r="AR31" s="470" t="s">
        <v>33</v>
      </c>
      <c r="AS31" s="470">
        <f t="shared" si="108"/>
        <v>4.4684710639028875</v>
      </c>
      <c r="AT31" s="470" t="s">
        <v>33</v>
      </c>
      <c r="AU31" s="470" t="s">
        <v>33</v>
      </c>
      <c r="AV31" s="470">
        <f t="shared" si="108"/>
        <v>4.4684710639028875</v>
      </c>
      <c r="AW31" s="470" t="s">
        <v>33</v>
      </c>
      <c r="AX31" s="470">
        <f t="shared" ref="AX31" si="113">SUM(AX32:AX37)</f>
        <v>1.2966576000000001</v>
      </c>
      <c r="AY31" s="470" t="s">
        <v>33</v>
      </c>
      <c r="AZ31" s="470" t="s">
        <v>33</v>
      </c>
      <c r="BA31" s="470">
        <f t="shared" ref="BA31" si="114">SUM(BA32:BA37)</f>
        <v>1.2966576000000001</v>
      </c>
      <c r="BB31" s="470" t="s">
        <v>33</v>
      </c>
      <c r="BC31" s="470">
        <f t="shared" si="108"/>
        <v>5.4117399936888866</v>
      </c>
      <c r="BD31" s="470" t="s">
        <v>33</v>
      </c>
      <c r="BE31" s="470" t="s">
        <v>33</v>
      </c>
      <c r="BF31" s="470">
        <f t="shared" si="108"/>
        <v>5.4117399936888866</v>
      </c>
      <c r="BG31" s="470" t="s">
        <v>33</v>
      </c>
      <c r="BH31" s="470">
        <f t="shared" ref="BH31" si="115">SUM(BH32:BH37)</f>
        <v>5.4117399936888866</v>
      </c>
      <c r="BI31" s="470" t="s">
        <v>33</v>
      </c>
      <c r="BJ31" s="470" t="s">
        <v>33</v>
      </c>
      <c r="BK31" s="470">
        <f t="shared" ref="BK31" si="116">SUM(BK32:BK37)</f>
        <v>5.4117399936888866</v>
      </c>
      <c r="BL31" s="470" t="s">
        <v>33</v>
      </c>
      <c r="BM31" s="470">
        <f t="shared" si="108"/>
        <v>6.0151854520235437</v>
      </c>
      <c r="BN31" s="470" t="s">
        <v>33</v>
      </c>
      <c r="BO31" s="470" t="s">
        <v>33</v>
      </c>
      <c r="BP31" s="470">
        <f t="shared" si="108"/>
        <v>6.0151854520235437</v>
      </c>
      <c r="BQ31" s="470" t="s">
        <v>33</v>
      </c>
      <c r="BR31" s="470">
        <f t="shared" ref="BR31" si="117">SUM(BR32:BR37)</f>
        <v>6.0151854520235437</v>
      </c>
      <c r="BS31" s="470" t="s">
        <v>33</v>
      </c>
      <c r="BT31" s="470" t="s">
        <v>33</v>
      </c>
      <c r="BU31" s="470">
        <f t="shared" ref="BU31" si="118">SUM(BU32:BU37)</f>
        <v>6.0151854520235437</v>
      </c>
      <c r="BV31" s="470" t="s">
        <v>33</v>
      </c>
      <c r="BW31" s="470">
        <f t="shared" ref="BW31:BZ31" si="119">SUM(BW32:BW37)</f>
        <v>32.627272272063315</v>
      </c>
      <c r="BX31" s="470" t="str">
        <f>BX32</f>
        <v>нд</v>
      </c>
      <c r="BY31" s="470" t="str">
        <f>BY32</f>
        <v>нд</v>
      </c>
      <c r="BZ31" s="470">
        <f t="shared" si="119"/>
        <v>31.061731010063319</v>
      </c>
      <c r="CA31" s="470">
        <f t="shared" ref="CA31:CB31" si="120">SUM(CA32:CA37)</f>
        <v>1.565541262</v>
      </c>
      <c r="CB31" s="470">
        <f t="shared" si="120"/>
        <v>22.390124307712433</v>
      </c>
      <c r="CC31" s="470" t="s">
        <v>33</v>
      </c>
      <c r="CD31" s="470" t="s">
        <v>33</v>
      </c>
      <c r="CE31" s="470">
        <f t="shared" ref="CE31:CF31" si="121">SUM(CE32:CE37)</f>
        <v>20.82458304571243</v>
      </c>
      <c r="CF31" s="470">
        <f t="shared" si="121"/>
        <v>1.565541262</v>
      </c>
      <c r="CG31" s="470" t="s">
        <v>33</v>
      </c>
    </row>
    <row r="32" spans="1:85" s="472" customFormat="1" outlineLevel="1" x14ac:dyDescent="0.25">
      <c r="A32" s="13" t="s">
        <v>616</v>
      </c>
      <c r="B32" s="210" t="s">
        <v>621</v>
      </c>
      <c r="C32" s="410" t="s">
        <v>641</v>
      </c>
      <c r="D32" s="410" t="s">
        <v>97</v>
      </c>
      <c r="E32" s="401">
        <v>2022</v>
      </c>
      <c r="F32" s="401">
        <v>2022</v>
      </c>
      <c r="G32" s="401" t="s">
        <v>33</v>
      </c>
      <c r="H32" s="407">
        <v>9.2769110000000001</v>
      </c>
      <c r="I32" s="407">
        <f>H32</f>
        <v>9.2769110000000001</v>
      </c>
      <c r="J32" s="406" t="s">
        <v>1355</v>
      </c>
      <c r="K32" s="407">
        <f t="shared" ref="K32" si="122">H32</f>
        <v>9.2769110000000001</v>
      </c>
      <c r="L32" s="410">
        <f t="shared" ref="L32:L34" si="123">K32</f>
        <v>9.2769110000000001</v>
      </c>
      <c r="M32" s="410" t="s">
        <v>33</v>
      </c>
      <c r="N32" s="410" t="s">
        <v>33</v>
      </c>
      <c r="O32" s="410" t="s">
        <v>33</v>
      </c>
      <c r="P32" s="410">
        <f>H32</f>
        <v>9.2769110000000001</v>
      </c>
      <c r="Q32" s="410">
        <f>P32*Ф17!E15</f>
        <v>9.6665412620000009</v>
      </c>
      <c r="R32" s="410">
        <f>L32</f>
        <v>9.2769110000000001</v>
      </c>
      <c r="S32" s="410">
        <f>Q32</f>
        <v>9.6665412620000009</v>
      </c>
      <c r="T32" s="410">
        <f>Q32</f>
        <v>9.6665412620000009</v>
      </c>
      <c r="U32" s="410">
        <f t="shared" ref="U32:U41" si="124">S32</f>
        <v>9.6665412620000009</v>
      </c>
      <c r="V32" s="410" t="s">
        <v>33</v>
      </c>
      <c r="W32" s="410" t="s">
        <v>33</v>
      </c>
      <c r="X32" s="410" t="s">
        <v>33</v>
      </c>
      <c r="Y32" s="410">
        <f>IF(E32=2022,T32,0)</f>
        <v>9.6665412620000009</v>
      </c>
      <c r="Z32" s="410" t="s">
        <v>33</v>
      </c>
      <c r="AA32" s="410" t="s">
        <v>33</v>
      </c>
      <c r="AB32" s="410">
        <v>8.1010000000000009</v>
      </c>
      <c r="AC32" s="410">
        <f>Y32-AB32</f>
        <v>1.565541262</v>
      </c>
      <c r="AD32" s="410">
        <f>Y32</f>
        <v>9.6665412620000009</v>
      </c>
      <c r="AE32" s="410" t="s">
        <v>33</v>
      </c>
      <c r="AF32" s="410" t="s">
        <v>33</v>
      </c>
      <c r="AG32" s="410">
        <f>AB32</f>
        <v>8.1010000000000009</v>
      </c>
      <c r="AH32" s="410">
        <f>AC32</f>
        <v>1.565541262</v>
      </c>
      <c r="AI32" s="410" t="s">
        <v>33</v>
      </c>
      <c r="AJ32" s="410" t="s">
        <v>33</v>
      </c>
      <c r="AK32" s="410" t="s">
        <v>33</v>
      </c>
      <c r="AL32" s="410" t="s">
        <v>33</v>
      </c>
      <c r="AM32" s="410" t="s">
        <v>33</v>
      </c>
      <c r="AN32" s="410" t="s">
        <v>33</v>
      </c>
      <c r="AO32" s="410" t="s">
        <v>33</v>
      </c>
      <c r="AP32" s="410" t="s">
        <v>33</v>
      </c>
      <c r="AQ32" s="410" t="s">
        <v>33</v>
      </c>
      <c r="AR32" s="410" t="s">
        <v>33</v>
      </c>
      <c r="AS32" s="410" t="s">
        <v>33</v>
      </c>
      <c r="AT32" s="410" t="s">
        <v>33</v>
      </c>
      <c r="AU32" s="410" t="s">
        <v>33</v>
      </c>
      <c r="AV32" s="410" t="s">
        <v>33</v>
      </c>
      <c r="AW32" s="410" t="s">
        <v>33</v>
      </c>
      <c r="AX32" s="410" t="s">
        <v>33</v>
      </c>
      <c r="AY32" s="410" t="s">
        <v>33</v>
      </c>
      <c r="AZ32" s="410" t="s">
        <v>33</v>
      </c>
      <c r="BA32" s="410" t="s">
        <v>33</v>
      </c>
      <c r="BB32" s="410" t="s">
        <v>33</v>
      </c>
      <c r="BC32" s="410" t="s">
        <v>33</v>
      </c>
      <c r="BD32" s="410" t="s">
        <v>33</v>
      </c>
      <c r="BE32" s="410" t="s">
        <v>33</v>
      </c>
      <c r="BF32" s="410" t="s">
        <v>33</v>
      </c>
      <c r="BG32" s="410" t="s">
        <v>33</v>
      </c>
      <c r="BH32" s="410" t="s">
        <v>33</v>
      </c>
      <c r="BI32" s="410" t="s">
        <v>33</v>
      </c>
      <c r="BJ32" s="410" t="s">
        <v>33</v>
      </c>
      <c r="BK32" s="410" t="s">
        <v>33</v>
      </c>
      <c r="BL32" s="410" t="s">
        <v>33</v>
      </c>
      <c r="BM32" s="410" t="s">
        <v>33</v>
      </c>
      <c r="BN32" s="410" t="s">
        <v>33</v>
      </c>
      <c r="BO32" s="410" t="s">
        <v>33</v>
      </c>
      <c r="BP32" s="410" t="s">
        <v>33</v>
      </c>
      <c r="BQ32" s="410" t="s">
        <v>33</v>
      </c>
      <c r="BR32" s="410" t="s">
        <v>33</v>
      </c>
      <c r="BS32" s="410" t="s">
        <v>33</v>
      </c>
      <c r="BT32" s="410" t="s">
        <v>33</v>
      </c>
      <c r="BU32" s="410" t="s">
        <v>33</v>
      </c>
      <c r="BV32" s="410" t="s">
        <v>33</v>
      </c>
      <c r="BW32" s="410">
        <f>Q32</f>
        <v>9.6665412620000009</v>
      </c>
      <c r="BX32" s="410" t="s">
        <v>33</v>
      </c>
      <c r="BY32" s="410" t="s">
        <v>33</v>
      </c>
      <c r="BZ32" s="410">
        <f>AB32</f>
        <v>8.1010000000000009</v>
      </c>
      <c r="CA32" s="410">
        <f>AC32</f>
        <v>1.565541262</v>
      </c>
      <c r="CB32" s="410">
        <f>BW32</f>
        <v>9.6665412620000009</v>
      </c>
      <c r="CC32" s="410" t="s">
        <v>33</v>
      </c>
      <c r="CD32" s="410" t="s">
        <v>33</v>
      </c>
      <c r="CE32" s="410">
        <f t="shared" ref="CE32:CF32" si="125">BZ32</f>
        <v>8.1010000000000009</v>
      </c>
      <c r="CF32" s="410">
        <f t="shared" si="125"/>
        <v>1.565541262</v>
      </c>
      <c r="CG32" s="401" t="s">
        <v>33</v>
      </c>
    </row>
    <row r="33" spans="1:85" s="472" customFormat="1" outlineLevel="1" x14ac:dyDescent="0.25">
      <c r="A33" s="13" t="s">
        <v>617</v>
      </c>
      <c r="B33" s="210" t="s">
        <v>621</v>
      </c>
      <c r="C33" s="410" t="s">
        <v>1359</v>
      </c>
      <c r="D33" s="410" t="s">
        <v>97</v>
      </c>
      <c r="E33" s="401">
        <v>2023</v>
      </c>
      <c r="F33" s="401">
        <v>2023</v>
      </c>
      <c r="G33" s="401" t="s">
        <v>33</v>
      </c>
      <c r="H33" s="407">
        <v>6.5010079999999997</v>
      </c>
      <c r="I33" s="407">
        <f t="shared" ref="I33:I37" si="126">H33</f>
        <v>6.5010079999999997</v>
      </c>
      <c r="J33" s="406" t="s">
        <v>1355</v>
      </c>
      <c r="K33" s="407" t="s">
        <v>33</v>
      </c>
      <c r="L33" s="410" t="str">
        <f t="shared" si="123"/>
        <v>нд</v>
      </c>
      <c r="M33" s="410" t="s">
        <v>33</v>
      </c>
      <c r="N33" s="410" t="s">
        <v>33</v>
      </c>
      <c r="O33" s="410" t="s">
        <v>33</v>
      </c>
      <c r="P33" s="410">
        <f t="shared" ref="P33:P37" si="127">H33</f>
        <v>6.5010079999999997</v>
      </c>
      <c r="Q33" s="410">
        <f>P33*Ф17!E15*Ф17!F15</f>
        <v>7.0653345004479995</v>
      </c>
      <c r="R33" s="410" t="s">
        <v>33</v>
      </c>
      <c r="S33" s="410" t="s">
        <v>33</v>
      </c>
      <c r="T33" s="410">
        <f t="shared" ref="T33:T36" si="128">Q33</f>
        <v>7.0653345004479995</v>
      </c>
      <c r="U33" s="410" t="str">
        <f t="shared" si="124"/>
        <v>нд</v>
      </c>
      <c r="V33" s="410" t="s">
        <v>33</v>
      </c>
      <c r="W33" s="410" t="s">
        <v>33</v>
      </c>
      <c r="X33" s="410" t="s">
        <v>33</v>
      </c>
      <c r="Y33" s="410" t="s">
        <v>33</v>
      </c>
      <c r="Z33" s="410" t="s">
        <v>33</v>
      </c>
      <c r="AA33" s="410" t="s">
        <v>33</v>
      </c>
      <c r="AB33" s="410" t="s">
        <v>33</v>
      </c>
      <c r="AC33" s="410" t="s">
        <v>33</v>
      </c>
      <c r="AD33" s="410" t="s">
        <v>33</v>
      </c>
      <c r="AE33" s="410" t="s">
        <v>33</v>
      </c>
      <c r="AF33" s="410" t="s">
        <v>33</v>
      </c>
      <c r="AG33" s="410" t="s">
        <v>33</v>
      </c>
      <c r="AH33" s="410" t="s">
        <v>33</v>
      </c>
      <c r="AI33" s="410">
        <f t="shared" ref="AI33" si="129">IF(F33=2023,T33,0)</f>
        <v>7.0653345004479995</v>
      </c>
      <c r="AJ33" s="410" t="s">
        <v>33</v>
      </c>
      <c r="AK33" s="410" t="s">
        <v>33</v>
      </c>
      <c r="AL33" s="410">
        <f>AI33</f>
        <v>7.0653345004479995</v>
      </c>
      <c r="AM33" s="410" t="s">
        <v>33</v>
      </c>
      <c r="AN33" s="410" t="s">
        <v>33</v>
      </c>
      <c r="AO33" s="410" t="s">
        <v>33</v>
      </c>
      <c r="AP33" s="410" t="s">
        <v>33</v>
      </c>
      <c r="AQ33" s="410" t="s">
        <v>33</v>
      </c>
      <c r="AR33" s="410" t="s">
        <v>33</v>
      </c>
      <c r="AS33" s="410" t="s">
        <v>33</v>
      </c>
      <c r="AT33" s="410" t="s">
        <v>33</v>
      </c>
      <c r="AU33" s="410" t="s">
        <v>33</v>
      </c>
      <c r="AV33" s="410" t="s">
        <v>33</v>
      </c>
      <c r="AW33" s="410" t="s">
        <v>33</v>
      </c>
      <c r="AX33" s="410" t="s">
        <v>33</v>
      </c>
      <c r="AY33" s="410" t="s">
        <v>33</v>
      </c>
      <c r="AZ33" s="410" t="s">
        <v>33</v>
      </c>
      <c r="BA33" s="410" t="s">
        <v>33</v>
      </c>
      <c r="BB33" s="410" t="s">
        <v>33</v>
      </c>
      <c r="BC33" s="410" t="s">
        <v>33</v>
      </c>
      <c r="BD33" s="410" t="s">
        <v>33</v>
      </c>
      <c r="BE33" s="410" t="s">
        <v>33</v>
      </c>
      <c r="BF33" s="410" t="s">
        <v>33</v>
      </c>
      <c r="BG33" s="410" t="s">
        <v>33</v>
      </c>
      <c r="BH33" s="410" t="s">
        <v>33</v>
      </c>
      <c r="BI33" s="410" t="s">
        <v>33</v>
      </c>
      <c r="BJ33" s="410" t="s">
        <v>33</v>
      </c>
      <c r="BK33" s="410" t="s">
        <v>33</v>
      </c>
      <c r="BL33" s="410" t="s">
        <v>33</v>
      </c>
      <c r="BM33" s="410" t="s">
        <v>33</v>
      </c>
      <c r="BN33" s="410" t="s">
        <v>33</v>
      </c>
      <c r="BO33" s="410" t="s">
        <v>33</v>
      </c>
      <c r="BP33" s="410" t="s">
        <v>33</v>
      </c>
      <c r="BQ33" s="410" t="s">
        <v>33</v>
      </c>
      <c r="BR33" s="410" t="s">
        <v>33</v>
      </c>
      <c r="BS33" s="410" t="s">
        <v>33</v>
      </c>
      <c r="BT33" s="410" t="s">
        <v>33</v>
      </c>
      <c r="BU33" s="410" t="s">
        <v>33</v>
      </c>
      <c r="BV33" s="410" t="s">
        <v>33</v>
      </c>
      <c r="BW33" s="410">
        <f>Q33</f>
        <v>7.0653345004479995</v>
      </c>
      <c r="BX33" s="410" t="s">
        <v>33</v>
      </c>
      <c r="BY33" s="410" t="s">
        <v>33</v>
      </c>
      <c r="BZ33" s="410">
        <f t="shared" ref="BZ33:BZ37" si="130">BW33</f>
        <v>7.0653345004479995</v>
      </c>
      <c r="CA33" s="410" t="s">
        <v>33</v>
      </c>
      <c r="CB33" s="410" t="str">
        <f>AN33</f>
        <v>нд</v>
      </c>
      <c r="CC33" s="410" t="str">
        <f t="shared" ref="CC33:CF33" si="131">AO33</f>
        <v>нд</v>
      </c>
      <c r="CD33" s="410" t="s">
        <v>33</v>
      </c>
      <c r="CE33" s="410" t="str">
        <f t="shared" si="131"/>
        <v>нд</v>
      </c>
      <c r="CF33" s="410" t="str">
        <f t="shared" si="131"/>
        <v>нд</v>
      </c>
      <c r="CG33" s="401" t="s">
        <v>33</v>
      </c>
    </row>
    <row r="34" spans="1:85" s="472" customFormat="1" outlineLevel="1" x14ac:dyDescent="0.25">
      <c r="A34" s="13" t="s">
        <v>618</v>
      </c>
      <c r="B34" s="210" t="s">
        <v>621</v>
      </c>
      <c r="C34" s="410" t="s">
        <v>1360</v>
      </c>
      <c r="D34" s="410" t="s">
        <v>97</v>
      </c>
      <c r="E34" s="401">
        <v>2024</v>
      </c>
      <c r="F34" s="401">
        <v>2024</v>
      </c>
      <c r="G34" s="401" t="s">
        <v>33</v>
      </c>
      <c r="H34" s="407">
        <v>3.9496280000000001</v>
      </c>
      <c r="I34" s="407">
        <f t="shared" si="126"/>
        <v>3.9496280000000001</v>
      </c>
      <c r="J34" s="406" t="s">
        <v>1355</v>
      </c>
      <c r="K34" s="407" t="s">
        <v>33</v>
      </c>
      <c r="L34" s="410" t="str">
        <f t="shared" si="123"/>
        <v>нд</v>
      </c>
      <c r="M34" s="410" t="s">
        <v>33</v>
      </c>
      <c r="N34" s="410" t="s">
        <v>33</v>
      </c>
      <c r="O34" s="410" t="s">
        <v>33</v>
      </c>
      <c r="P34" s="410">
        <f t="shared" si="127"/>
        <v>3.9496280000000001</v>
      </c>
      <c r="Q34" s="410">
        <f>P34*Ф17!E15*Ф17!F15*Ф17!G15</f>
        <v>4.4684710639028875</v>
      </c>
      <c r="R34" s="410" t="s">
        <v>33</v>
      </c>
      <c r="S34" s="410" t="s">
        <v>33</v>
      </c>
      <c r="T34" s="410">
        <f t="shared" si="128"/>
        <v>4.4684710639028875</v>
      </c>
      <c r="U34" s="410" t="str">
        <f t="shared" si="124"/>
        <v>нд</v>
      </c>
      <c r="V34" s="410" t="s">
        <v>33</v>
      </c>
      <c r="W34" s="410" t="s">
        <v>33</v>
      </c>
      <c r="X34" s="410" t="s">
        <v>33</v>
      </c>
      <c r="Y34" s="410" t="s">
        <v>33</v>
      </c>
      <c r="Z34" s="410" t="s">
        <v>33</v>
      </c>
      <c r="AA34" s="410" t="s">
        <v>33</v>
      </c>
      <c r="AB34" s="410" t="s">
        <v>33</v>
      </c>
      <c r="AC34" s="410" t="s">
        <v>33</v>
      </c>
      <c r="AD34" s="410" t="s">
        <v>33</v>
      </c>
      <c r="AE34" s="410" t="s">
        <v>33</v>
      </c>
      <c r="AF34" s="410" t="s">
        <v>33</v>
      </c>
      <c r="AG34" s="410" t="s">
        <v>33</v>
      </c>
      <c r="AH34" s="410" t="s">
        <v>33</v>
      </c>
      <c r="AI34" s="410" t="s">
        <v>33</v>
      </c>
      <c r="AJ34" s="410" t="s">
        <v>33</v>
      </c>
      <c r="AK34" s="410" t="s">
        <v>33</v>
      </c>
      <c r="AL34" s="410" t="s">
        <v>33</v>
      </c>
      <c r="AM34" s="410" t="s">
        <v>33</v>
      </c>
      <c r="AN34" s="410" t="s">
        <v>33</v>
      </c>
      <c r="AO34" s="410" t="s">
        <v>33</v>
      </c>
      <c r="AP34" s="410" t="s">
        <v>33</v>
      </c>
      <c r="AQ34" s="410" t="s">
        <v>33</v>
      </c>
      <c r="AR34" s="410" t="s">
        <v>33</v>
      </c>
      <c r="AS34" s="410">
        <f t="shared" ref="AS34" si="132">IF(E34=2024,T34,0)</f>
        <v>4.4684710639028875</v>
      </c>
      <c r="AT34" s="410" t="s">
        <v>33</v>
      </c>
      <c r="AU34" s="410" t="s">
        <v>33</v>
      </c>
      <c r="AV34" s="410">
        <f>AS34</f>
        <v>4.4684710639028875</v>
      </c>
      <c r="AW34" s="410" t="s">
        <v>33</v>
      </c>
      <c r="AX34" s="410" t="s">
        <v>33</v>
      </c>
      <c r="AY34" s="410" t="s">
        <v>33</v>
      </c>
      <c r="AZ34" s="410" t="s">
        <v>33</v>
      </c>
      <c r="BA34" s="410" t="s">
        <v>33</v>
      </c>
      <c r="BB34" s="410" t="s">
        <v>33</v>
      </c>
      <c r="BC34" s="410" t="s">
        <v>33</v>
      </c>
      <c r="BD34" s="410" t="s">
        <v>33</v>
      </c>
      <c r="BE34" s="410" t="s">
        <v>33</v>
      </c>
      <c r="BF34" s="410" t="s">
        <v>33</v>
      </c>
      <c r="BG34" s="410" t="s">
        <v>33</v>
      </c>
      <c r="BH34" s="410" t="s">
        <v>33</v>
      </c>
      <c r="BI34" s="410" t="s">
        <v>33</v>
      </c>
      <c r="BJ34" s="410" t="s">
        <v>33</v>
      </c>
      <c r="BK34" s="410" t="s">
        <v>33</v>
      </c>
      <c r="BL34" s="410" t="s">
        <v>33</v>
      </c>
      <c r="BM34" s="410" t="s">
        <v>33</v>
      </c>
      <c r="BN34" s="410" t="s">
        <v>33</v>
      </c>
      <c r="BO34" s="410" t="s">
        <v>33</v>
      </c>
      <c r="BP34" s="410" t="s">
        <v>33</v>
      </c>
      <c r="BQ34" s="410" t="s">
        <v>33</v>
      </c>
      <c r="BR34" s="410" t="s">
        <v>33</v>
      </c>
      <c r="BS34" s="410" t="s">
        <v>33</v>
      </c>
      <c r="BT34" s="410" t="s">
        <v>33</v>
      </c>
      <c r="BU34" s="410" t="s">
        <v>33</v>
      </c>
      <c r="BV34" s="410" t="s">
        <v>33</v>
      </c>
      <c r="BW34" s="410">
        <f>Q34</f>
        <v>4.4684710639028875</v>
      </c>
      <c r="BX34" s="410" t="s">
        <v>33</v>
      </c>
      <c r="BY34" s="410" t="s">
        <v>33</v>
      </c>
      <c r="BZ34" s="410">
        <f t="shared" si="130"/>
        <v>4.4684710639028875</v>
      </c>
      <c r="CA34" s="410" t="s">
        <v>33</v>
      </c>
      <c r="CB34" s="410" t="str">
        <f>AX34</f>
        <v>нд</v>
      </c>
      <c r="CC34" s="410" t="str">
        <f t="shared" ref="CC34:CF35" si="133">AY34</f>
        <v>нд</v>
      </c>
      <c r="CD34" s="410" t="s">
        <v>33</v>
      </c>
      <c r="CE34" s="410" t="str">
        <f t="shared" si="133"/>
        <v>нд</v>
      </c>
      <c r="CF34" s="410" t="str">
        <f t="shared" si="133"/>
        <v>нд</v>
      </c>
      <c r="CG34" s="401" t="s">
        <v>33</v>
      </c>
    </row>
    <row r="35" spans="1:85" s="472" customFormat="1" ht="31.5" outlineLevel="1" x14ac:dyDescent="0.25">
      <c r="A35" s="13" t="s">
        <v>619</v>
      </c>
      <c r="B35" s="210" t="s">
        <v>1334</v>
      </c>
      <c r="C35" s="410" t="s">
        <v>1341</v>
      </c>
      <c r="D35" s="410" t="s">
        <v>97</v>
      </c>
      <c r="E35" s="401">
        <v>2024</v>
      </c>
      <c r="F35" s="401">
        <v>2024</v>
      </c>
      <c r="G35" s="401">
        <v>2024</v>
      </c>
      <c r="H35" s="408">
        <v>0</v>
      </c>
      <c r="I35" s="408">
        <f>H35</f>
        <v>0</v>
      </c>
      <c r="J35" s="410" t="s">
        <v>33</v>
      </c>
      <c r="K35" s="407">
        <f>1.036*1.2</f>
        <v>1.2432000000000001</v>
      </c>
      <c r="L35" s="410">
        <f>K35</f>
        <v>1.2432000000000001</v>
      </c>
      <c r="M35" s="411" t="s">
        <v>1358</v>
      </c>
      <c r="N35" s="410" t="s">
        <v>33</v>
      </c>
      <c r="O35" s="410" t="s">
        <v>33</v>
      </c>
      <c r="P35" s="411">
        <v>0</v>
      </c>
      <c r="Q35" s="411">
        <f>P35*Ф17!E29*Ф17!F29*Ф17!G29*Ф17!H29</f>
        <v>0</v>
      </c>
      <c r="R35" s="410">
        <f>K35</f>
        <v>1.2432000000000001</v>
      </c>
      <c r="S35" s="410">
        <f>R35*1.043</f>
        <v>1.2966576000000001</v>
      </c>
      <c r="T35" s="411">
        <f>S35*Ф17!H29*Ф17!I29*Ф17!J29*Ф17!K29</f>
        <v>0</v>
      </c>
      <c r="U35" s="410">
        <f t="shared" si="124"/>
        <v>1.2966576000000001</v>
      </c>
      <c r="V35" s="410" t="s">
        <v>33</v>
      </c>
      <c r="W35" s="410" t="s">
        <v>33</v>
      </c>
      <c r="X35" s="410" t="s">
        <v>33</v>
      </c>
      <c r="Y35" s="410" t="s">
        <v>33</v>
      </c>
      <c r="Z35" s="410" t="s">
        <v>33</v>
      </c>
      <c r="AA35" s="410" t="s">
        <v>33</v>
      </c>
      <c r="AB35" s="410" t="s">
        <v>33</v>
      </c>
      <c r="AC35" s="410" t="s">
        <v>33</v>
      </c>
      <c r="AD35" s="410" t="s">
        <v>33</v>
      </c>
      <c r="AE35" s="410" t="s">
        <v>33</v>
      </c>
      <c r="AF35" s="410" t="s">
        <v>33</v>
      </c>
      <c r="AG35" s="410" t="s">
        <v>33</v>
      </c>
      <c r="AH35" s="410" t="s">
        <v>33</v>
      </c>
      <c r="AI35" s="410" t="s">
        <v>33</v>
      </c>
      <c r="AJ35" s="410" t="s">
        <v>33</v>
      </c>
      <c r="AK35" s="410" t="s">
        <v>33</v>
      </c>
      <c r="AL35" s="410" t="s">
        <v>33</v>
      </c>
      <c r="AM35" s="410" t="s">
        <v>33</v>
      </c>
      <c r="AN35" s="410" t="s">
        <v>33</v>
      </c>
      <c r="AO35" s="410" t="s">
        <v>33</v>
      </c>
      <c r="AP35" s="410" t="s">
        <v>33</v>
      </c>
      <c r="AQ35" s="410" t="s">
        <v>33</v>
      </c>
      <c r="AR35" s="410" t="s">
        <v>33</v>
      </c>
      <c r="AS35" s="410" t="s">
        <v>33</v>
      </c>
      <c r="AT35" s="410" t="s">
        <v>33</v>
      </c>
      <c r="AU35" s="410" t="s">
        <v>33</v>
      </c>
      <c r="AV35" s="410" t="s">
        <v>33</v>
      </c>
      <c r="AW35" s="410" t="s">
        <v>33</v>
      </c>
      <c r="AX35" s="410">
        <f>U35</f>
        <v>1.2966576000000001</v>
      </c>
      <c r="AY35" s="410" t="s">
        <v>33</v>
      </c>
      <c r="AZ35" s="410" t="s">
        <v>33</v>
      </c>
      <c r="BA35" s="410">
        <f t="shared" ref="BA35" si="134">AX35</f>
        <v>1.2966576000000001</v>
      </c>
      <c r="BB35" s="410" t="s">
        <v>33</v>
      </c>
      <c r="BC35" s="410" t="s">
        <v>33</v>
      </c>
      <c r="BD35" s="410" t="s">
        <v>33</v>
      </c>
      <c r="BE35" s="410" t="s">
        <v>33</v>
      </c>
      <c r="BF35" s="410" t="s">
        <v>33</v>
      </c>
      <c r="BG35" s="410" t="s">
        <v>33</v>
      </c>
      <c r="BH35" s="410" t="s">
        <v>33</v>
      </c>
      <c r="BI35" s="410" t="s">
        <v>33</v>
      </c>
      <c r="BJ35" s="410" t="s">
        <v>33</v>
      </c>
      <c r="BK35" s="410" t="s">
        <v>33</v>
      </c>
      <c r="BL35" s="410" t="s">
        <v>33</v>
      </c>
      <c r="BM35" s="410" t="s">
        <v>33</v>
      </c>
      <c r="BN35" s="410" t="s">
        <v>33</v>
      </c>
      <c r="BO35" s="410" t="s">
        <v>33</v>
      </c>
      <c r="BP35" s="410" t="s">
        <v>33</v>
      </c>
      <c r="BQ35" s="410" t="s">
        <v>33</v>
      </c>
      <c r="BR35" s="410" t="s">
        <v>33</v>
      </c>
      <c r="BS35" s="410" t="s">
        <v>33</v>
      </c>
      <c r="BT35" s="410" t="s">
        <v>33</v>
      </c>
      <c r="BU35" s="410" t="s">
        <v>33</v>
      </c>
      <c r="BV35" s="410" t="s">
        <v>33</v>
      </c>
      <c r="BW35" s="410" t="s">
        <v>33</v>
      </c>
      <c r="BX35" s="410" t="s">
        <v>33</v>
      </c>
      <c r="BY35" s="410" t="s">
        <v>33</v>
      </c>
      <c r="BZ35" s="410" t="s">
        <v>33</v>
      </c>
      <c r="CA35" s="410" t="s">
        <v>33</v>
      </c>
      <c r="CB35" s="410">
        <f>AX35</f>
        <v>1.2966576000000001</v>
      </c>
      <c r="CC35" s="410" t="str">
        <f t="shared" si="133"/>
        <v>нд</v>
      </c>
      <c r="CD35" s="410" t="s">
        <v>33</v>
      </c>
      <c r="CE35" s="410">
        <f t="shared" si="133"/>
        <v>1.2966576000000001</v>
      </c>
      <c r="CF35" s="410" t="str">
        <f t="shared" si="133"/>
        <v>нд</v>
      </c>
      <c r="CG35" s="428" t="s">
        <v>1364</v>
      </c>
    </row>
    <row r="36" spans="1:85" s="472" customFormat="1" outlineLevel="1" x14ac:dyDescent="0.25">
      <c r="A36" s="13" t="s">
        <v>620</v>
      </c>
      <c r="B36" s="210" t="s">
        <v>621</v>
      </c>
      <c r="C36" s="410" t="s">
        <v>644</v>
      </c>
      <c r="D36" s="410" t="s">
        <v>97</v>
      </c>
      <c r="E36" s="401">
        <v>2025</v>
      </c>
      <c r="F36" s="401">
        <v>2025</v>
      </c>
      <c r="G36" s="401" t="s">
        <v>33</v>
      </c>
      <c r="H36" s="407">
        <v>4.5949780000000002</v>
      </c>
      <c r="I36" s="407">
        <f t="shared" si="126"/>
        <v>4.5949780000000002</v>
      </c>
      <c r="J36" s="406" t="s">
        <v>1355</v>
      </c>
      <c r="K36" s="407">
        <f>H36</f>
        <v>4.5949780000000002</v>
      </c>
      <c r="L36" s="410">
        <f>K36</f>
        <v>4.5949780000000002</v>
      </c>
      <c r="M36" s="410" t="s">
        <v>33</v>
      </c>
      <c r="N36" s="410" t="s">
        <v>33</v>
      </c>
      <c r="O36" s="410" t="s">
        <v>33</v>
      </c>
      <c r="P36" s="410">
        <f t="shared" si="127"/>
        <v>4.5949780000000002</v>
      </c>
      <c r="Q36" s="410">
        <f>P36*Ф17!E15*Ф17!F15*Ф17!G15*Ф17!H15</f>
        <v>5.4117399936888866</v>
      </c>
      <c r="R36" s="410">
        <f t="shared" ref="R36:R37" si="135">L36</f>
        <v>4.5949780000000002</v>
      </c>
      <c r="S36" s="410">
        <f t="shared" ref="S36:S37" si="136">Q36</f>
        <v>5.4117399936888866</v>
      </c>
      <c r="T36" s="410">
        <f t="shared" si="128"/>
        <v>5.4117399936888866</v>
      </c>
      <c r="U36" s="410">
        <f t="shared" si="124"/>
        <v>5.4117399936888866</v>
      </c>
      <c r="V36" s="410" t="s">
        <v>33</v>
      </c>
      <c r="W36" s="410" t="s">
        <v>33</v>
      </c>
      <c r="X36" s="410" t="s">
        <v>33</v>
      </c>
      <c r="Y36" s="410" t="s">
        <v>33</v>
      </c>
      <c r="Z36" s="410" t="s">
        <v>33</v>
      </c>
      <c r="AA36" s="410" t="s">
        <v>33</v>
      </c>
      <c r="AB36" s="410" t="s">
        <v>33</v>
      </c>
      <c r="AC36" s="410" t="s">
        <v>33</v>
      </c>
      <c r="AD36" s="410" t="s">
        <v>33</v>
      </c>
      <c r="AE36" s="410" t="s">
        <v>33</v>
      </c>
      <c r="AF36" s="410" t="s">
        <v>33</v>
      </c>
      <c r="AG36" s="410" t="s">
        <v>33</v>
      </c>
      <c r="AH36" s="410" t="s">
        <v>33</v>
      </c>
      <c r="AI36" s="410" t="s">
        <v>33</v>
      </c>
      <c r="AJ36" s="410" t="s">
        <v>33</v>
      </c>
      <c r="AK36" s="410" t="s">
        <v>33</v>
      </c>
      <c r="AL36" s="410" t="s">
        <v>33</v>
      </c>
      <c r="AM36" s="410" t="s">
        <v>33</v>
      </c>
      <c r="AN36" s="410" t="s">
        <v>33</v>
      </c>
      <c r="AO36" s="410" t="s">
        <v>33</v>
      </c>
      <c r="AP36" s="410" t="s">
        <v>33</v>
      </c>
      <c r="AQ36" s="410" t="s">
        <v>33</v>
      </c>
      <c r="AR36" s="410" t="s">
        <v>33</v>
      </c>
      <c r="AS36" s="410" t="s">
        <v>33</v>
      </c>
      <c r="AT36" s="410" t="s">
        <v>33</v>
      </c>
      <c r="AU36" s="410" t="s">
        <v>33</v>
      </c>
      <c r="AV36" s="410" t="s">
        <v>33</v>
      </c>
      <c r="AW36" s="410" t="s">
        <v>33</v>
      </c>
      <c r="AX36" s="410" t="s">
        <v>33</v>
      </c>
      <c r="AY36" s="410" t="s">
        <v>33</v>
      </c>
      <c r="AZ36" s="410" t="s">
        <v>33</v>
      </c>
      <c r="BA36" s="410" t="s">
        <v>33</v>
      </c>
      <c r="BB36" s="410" t="s">
        <v>33</v>
      </c>
      <c r="BC36" s="410">
        <f t="shared" ref="BC36" si="137">IF(E36=2025,T36,0)</f>
        <v>5.4117399936888866</v>
      </c>
      <c r="BD36" s="410" t="s">
        <v>33</v>
      </c>
      <c r="BE36" s="410" t="s">
        <v>33</v>
      </c>
      <c r="BF36" s="410">
        <f>BC36</f>
        <v>5.4117399936888866</v>
      </c>
      <c r="BG36" s="410" t="s">
        <v>33</v>
      </c>
      <c r="BH36" s="410">
        <f>BC36</f>
        <v>5.4117399936888866</v>
      </c>
      <c r="BI36" s="410" t="s">
        <v>33</v>
      </c>
      <c r="BJ36" s="410" t="s">
        <v>33</v>
      </c>
      <c r="BK36" s="410">
        <f>BF36</f>
        <v>5.4117399936888866</v>
      </c>
      <c r="BL36" s="410" t="s">
        <v>33</v>
      </c>
      <c r="BM36" s="410" t="s">
        <v>33</v>
      </c>
      <c r="BN36" s="410" t="s">
        <v>33</v>
      </c>
      <c r="BO36" s="410" t="s">
        <v>33</v>
      </c>
      <c r="BP36" s="410" t="s">
        <v>33</v>
      </c>
      <c r="BQ36" s="410" t="s">
        <v>33</v>
      </c>
      <c r="BR36" s="410" t="s">
        <v>33</v>
      </c>
      <c r="BS36" s="410" t="s">
        <v>33</v>
      </c>
      <c r="BT36" s="410" t="s">
        <v>33</v>
      </c>
      <c r="BU36" s="410" t="s">
        <v>33</v>
      </c>
      <c r="BV36" s="410" t="s">
        <v>33</v>
      </c>
      <c r="BW36" s="410">
        <f>Q36</f>
        <v>5.4117399936888866</v>
      </c>
      <c r="BX36" s="410" t="s">
        <v>33</v>
      </c>
      <c r="BY36" s="410" t="s">
        <v>33</v>
      </c>
      <c r="BZ36" s="410">
        <f t="shared" si="130"/>
        <v>5.4117399936888866</v>
      </c>
      <c r="CA36" s="410" t="s">
        <v>33</v>
      </c>
      <c r="CB36" s="410">
        <f>BH36</f>
        <v>5.4117399936888866</v>
      </c>
      <c r="CC36" s="410" t="str">
        <f t="shared" ref="CC36:CF36" si="138">BI36</f>
        <v>нд</v>
      </c>
      <c r="CD36" s="410" t="s">
        <v>33</v>
      </c>
      <c r="CE36" s="410">
        <f t="shared" si="138"/>
        <v>5.4117399936888866</v>
      </c>
      <c r="CF36" s="410" t="str">
        <f t="shared" si="138"/>
        <v>нд</v>
      </c>
      <c r="CG36" s="401" t="s">
        <v>33</v>
      </c>
    </row>
    <row r="37" spans="1:85" s="472" customFormat="1" outlineLevel="1" x14ac:dyDescent="0.25">
      <c r="A37" s="13" t="s">
        <v>1339</v>
      </c>
      <c r="B37" s="210" t="s">
        <v>621</v>
      </c>
      <c r="C37" s="410" t="s">
        <v>645</v>
      </c>
      <c r="D37" s="410" t="s">
        <v>97</v>
      </c>
      <c r="E37" s="401">
        <v>2026</v>
      </c>
      <c r="F37" s="401">
        <v>2026</v>
      </c>
      <c r="G37" s="401" t="s">
        <v>33</v>
      </c>
      <c r="H37" s="407">
        <v>4.9061950000000003</v>
      </c>
      <c r="I37" s="407">
        <f t="shared" si="126"/>
        <v>4.9061950000000003</v>
      </c>
      <c r="J37" s="406" t="s">
        <v>1355</v>
      </c>
      <c r="K37" s="407">
        <f>H37</f>
        <v>4.9061950000000003</v>
      </c>
      <c r="L37" s="410">
        <f>K37</f>
        <v>4.9061950000000003</v>
      </c>
      <c r="M37" s="410" t="s">
        <v>33</v>
      </c>
      <c r="N37" s="410" t="s">
        <v>33</v>
      </c>
      <c r="O37" s="410" t="s">
        <v>33</v>
      </c>
      <c r="P37" s="410">
        <f t="shared" si="127"/>
        <v>4.9061950000000003</v>
      </c>
      <c r="Q37" s="410">
        <f>P37*Ф17!E15*Ф17!F15*Ф17!G15*Ф17!H15*Ф17!I15</f>
        <v>6.0151854520235437</v>
      </c>
      <c r="R37" s="410">
        <f t="shared" si="135"/>
        <v>4.9061950000000003</v>
      </c>
      <c r="S37" s="410">
        <f t="shared" si="136"/>
        <v>6.0151854520235437</v>
      </c>
      <c r="T37" s="410">
        <f>Q37</f>
        <v>6.0151854520235437</v>
      </c>
      <c r="U37" s="410">
        <f t="shared" si="124"/>
        <v>6.0151854520235437</v>
      </c>
      <c r="V37" s="410" t="s">
        <v>33</v>
      </c>
      <c r="W37" s="410" t="s">
        <v>33</v>
      </c>
      <c r="X37" s="410" t="s">
        <v>33</v>
      </c>
      <c r="Y37" s="410" t="s">
        <v>33</v>
      </c>
      <c r="Z37" s="410" t="s">
        <v>33</v>
      </c>
      <c r="AA37" s="410" t="s">
        <v>33</v>
      </c>
      <c r="AB37" s="410" t="s">
        <v>33</v>
      </c>
      <c r="AC37" s="410" t="s">
        <v>33</v>
      </c>
      <c r="AD37" s="410" t="s">
        <v>33</v>
      </c>
      <c r="AE37" s="410" t="s">
        <v>33</v>
      </c>
      <c r="AF37" s="410" t="s">
        <v>33</v>
      </c>
      <c r="AG37" s="410" t="s">
        <v>33</v>
      </c>
      <c r="AH37" s="410" t="s">
        <v>33</v>
      </c>
      <c r="AI37" s="410" t="s">
        <v>33</v>
      </c>
      <c r="AJ37" s="410" t="s">
        <v>33</v>
      </c>
      <c r="AK37" s="410" t="s">
        <v>33</v>
      </c>
      <c r="AL37" s="410" t="s">
        <v>33</v>
      </c>
      <c r="AM37" s="410" t="s">
        <v>33</v>
      </c>
      <c r="AN37" s="410" t="s">
        <v>33</v>
      </c>
      <c r="AO37" s="410" t="s">
        <v>33</v>
      </c>
      <c r="AP37" s="410" t="s">
        <v>33</v>
      </c>
      <c r="AQ37" s="410" t="s">
        <v>33</v>
      </c>
      <c r="AR37" s="410" t="s">
        <v>33</v>
      </c>
      <c r="AS37" s="410" t="s">
        <v>33</v>
      </c>
      <c r="AT37" s="410" t="s">
        <v>33</v>
      </c>
      <c r="AU37" s="410" t="s">
        <v>33</v>
      </c>
      <c r="AV37" s="410" t="s">
        <v>33</v>
      </c>
      <c r="AW37" s="410" t="s">
        <v>33</v>
      </c>
      <c r="AX37" s="410" t="s">
        <v>33</v>
      </c>
      <c r="AY37" s="410" t="s">
        <v>33</v>
      </c>
      <c r="AZ37" s="410" t="s">
        <v>33</v>
      </c>
      <c r="BA37" s="410" t="s">
        <v>33</v>
      </c>
      <c r="BB37" s="410" t="s">
        <v>33</v>
      </c>
      <c r="BC37" s="410" t="s">
        <v>33</v>
      </c>
      <c r="BD37" s="410" t="s">
        <v>33</v>
      </c>
      <c r="BE37" s="410" t="s">
        <v>33</v>
      </c>
      <c r="BF37" s="410" t="s">
        <v>33</v>
      </c>
      <c r="BG37" s="410" t="s">
        <v>33</v>
      </c>
      <c r="BH37" s="410" t="s">
        <v>33</v>
      </c>
      <c r="BI37" s="410" t="s">
        <v>33</v>
      </c>
      <c r="BJ37" s="410" t="s">
        <v>33</v>
      </c>
      <c r="BK37" s="410" t="s">
        <v>33</v>
      </c>
      <c r="BL37" s="410" t="s">
        <v>33</v>
      </c>
      <c r="BM37" s="410">
        <f>IF(E37=2026,T37,0)</f>
        <v>6.0151854520235437</v>
      </c>
      <c r="BN37" s="410" t="s">
        <v>33</v>
      </c>
      <c r="BO37" s="410" t="s">
        <v>33</v>
      </c>
      <c r="BP37" s="410">
        <f>BM37</f>
        <v>6.0151854520235437</v>
      </c>
      <c r="BQ37" s="410" t="s">
        <v>33</v>
      </c>
      <c r="BR37" s="410">
        <f>BM37</f>
        <v>6.0151854520235437</v>
      </c>
      <c r="BS37" s="410" t="s">
        <v>33</v>
      </c>
      <c r="BT37" s="410" t="s">
        <v>33</v>
      </c>
      <c r="BU37" s="410">
        <f>BP37</f>
        <v>6.0151854520235437</v>
      </c>
      <c r="BV37" s="410" t="s">
        <v>33</v>
      </c>
      <c r="BW37" s="410">
        <f>Q37</f>
        <v>6.0151854520235437</v>
      </c>
      <c r="BX37" s="410" t="s">
        <v>33</v>
      </c>
      <c r="BY37" s="410" t="s">
        <v>33</v>
      </c>
      <c r="BZ37" s="410">
        <f t="shared" si="130"/>
        <v>6.0151854520235437</v>
      </c>
      <c r="CA37" s="410" t="s">
        <v>33</v>
      </c>
      <c r="CB37" s="410">
        <f>BR37</f>
        <v>6.0151854520235437</v>
      </c>
      <c r="CC37" s="410" t="str">
        <f t="shared" ref="CC37:CF37" si="139">BS37</f>
        <v>нд</v>
      </c>
      <c r="CD37" s="410" t="s">
        <v>33</v>
      </c>
      <c r="CE37" s="410">
        <f t="shared" si="139"/>
        <v>6.0151854520235437</v>
      </c>
      <c r="CF37" s="410" t="str">
        <f t="shared" si="139"/>
        <v>нд</v>
      </c>
      <c r="CG37" s="401" t="s">
        <v>33</v>
      </c>
    </row>
    <row r="38" spans="1:85" s="459" customFormat="1" ht="21" customHeight="1" x14ac:dyDescent="0.25">
      <c r="A38" s="18" t="s">
        <v>466</v>
      </c>
      <c r="B38" s="118" t="s">
        <v>467</v>
      </c>
      <c r="C38" s="473" t="s">
        <v>33</v>
      </c>
      <c r="D38" s="473" t="s">
        <v>33</v>
      </c>
      <c r="E38" s="473" t="s">
        <v>33</v>
      </c>
      <c r="F38" s="473" t="s">
        <v>33</v>
      </c>
      <c r="G38" s="473" t="s">
        <v>33</v>
      </c>
      <c r="H38" s="458">
        <f>SUM(H39:H41)</f>
        <v>11.698083333333335</v>
      </c>
      <c r="I38" s="458">
        <f>SUM(I39:I41)</f>
        <v>11.698083333333335</v>
      </c>
      <c r="J38" s="453" t="s">
        <v>33</v>
      </c>
      <c r="K38" s="458">
        <f>SUM(K39:K41)</f>
        <v>15.77492</v>
      </c>
      <c r="L38" s="436">
        <f>SUM(L39:L41)</f>
        <v>15.77492</v>
      </c>
      <c r="M38" s="436" t="s">
        <v>33</v>
      </c>
      <c r="N38" s="436" t="str">
        <f t="shared" ref="N38:O38" si="140">N39</f>
        <v>нд</v>
      </c>
      <c r="O38" s="436" t="str">
        <f t="shared" si="140"/>
        <v>нд</v>
      </c>
      <c r="P38" s="474">
        <f>SUM(P39:P41)</f>
        <v>11.698083333333335</v>
      </c>
      <c r="Q38" s="474">
        <f>SUM(Q39:Q41)</f>
        <v>13.471602949481531</v>
      </c>
      <c r="R38" s="474">
        <f>SUM(R39:R41)</f>
        <v>15.77492</v>
      </c>
      <c r="S38" s="474">
        <f>SUM(S39:S41)</f>
        <v>17.141145480783027</v>
      </c>
      <c r="T38" s="474">
        <f t="shared" ref="T38" si="141">SUM(T39:T41)</f>
        <v>13.471602949481531</v>
      </c>
      <c r="U38" s="474">
        <f>SUM(U39:U41)</f>
        <v>17.141145480783027</v>
      </c>
      <c r="V38" s="474" t="str">
        <f t="shared" ref="V38:X38" si="142">V39</f>
        <v>нд</v>
      </c>
      <c r="W38" s="474" t="str">
        <f t="shared" si="142"/>
        <v>нд</v>
      </c>
      <c r="X38" s="474" t="str">
        <f t="shared" si="142"/>
        <v>нд</v>
      </c>
      <c r="Y38" s="436" t="str">
        <f t="shared" ref="Y38:AR38" si="143">Y39</f>
        <v>нд</v>
      </c>
      <c r="Z38" s="436" t="str">
        <f t="shared" si="143"/>
        <v>нд</v>
      </c>
      <c r="AA38" s="436" t="str">
        <f t="shared" si="143"/>
        <v>нд</v>
      </c>
      <c r="AB38" s="436" t="str">
        <f t="shared" si="143"/>
        <v>нд</v>
      </c>
      <c r="AC38" s="436" t="str">
        <f t="shared" si="143"/>
        <v>нд</v>
      </c>
      <c r="AD38" s="436" t="str">
        <f t="shared" si="143"/>
        <v>нд</v>
      </c>
      <c r="AE38" s="436" t="str">
        <f t="shared" si="143"/>
        <v>нд</v>
      </c>
      <c r="AF38" s="436" t="str">
        <f t="shared" si="143"/>
        <v>нд</v>
      </c>
      <c r="AG38" s="436" t="str">
        <f t="shared" si="143"/>
        <v>нд</v>
      </c>
      <c r="AH38" s="436" t="str">
        <f t="shared" si="143"/>
        <v>нд</v>
      </c>
      <c r="AI38" s="436" t="str">
        <f t="shared" si="143"/>
        <v>нд</v>
      </c>
      <c r="AJ38" s="436" t="str">
        <f t="shared" si="143"/>
        <v>нд</v>
      </c>
      <c r="AK38" s="436" t="str">
        <f t="shared" si="143"/>
        <v>нд</v>
      </c>
      <c r="AL38" s="436" t="str">
        <f t="shared" si="143"/>
        <v>нд</v>
      </c>
      <c r="AM38" s="436" t="str">
        <f t="shared" si="143"/>
        <v>нд</v>
      </c>
      <c r="AN38" s="436" t="str">
        <f t="shared" si="143"/>
        <v>нд</v>
      </c>
      <c r="AO38" s="436" t="str">
        <f t="shared" si="143"/>
        <v>нд</v>
      </c>
      <c r="AP38" s="436" t="str">
        <f t="shared" si="143"/>
        <v>нд</v>
      </c>
      <c r="AQ38" s="436" t="str">
        <f t="shared" si="143"/>
        <v>нд</v>
      </c>
      <c r="AR38" s="436" t="str">
        <f t="shared" si="143"/>
        <v>нд</v>
      </c>
      <c r="AS38" s="474">
        <f>SUM(AS39:AS41)</f>
        <v>7.4591840286985009</v>
      </c>
      <c r="AT38" s="474" t="str">
        <f>AT39</f>
        <v>нд</v>
      </c>
      <c r="AU38" s="474" t="str">
        <f t="shared" ref="AU38:AZ38" si="144">AU39</f>
        <v>нд</v>
      </c>
      <c r="AV38" s="474">
        <f t="shared" si="144"/>
        <v>2.2639999999999998</v>
      </c>
      <c r="AW38" s="474">
        <f t="shared" si="144"/>
        <v>5.1951840286985007</v>
      </c>
      <c r="AX38" s="474">
        <f>SUM(AX39:AX41)</f>
        <v>11.128726559999999</v>
      </c>
      <c r="AY38" s="474" t="str">
        <f t="shared" si="144"/>
        <v>нд</v>
      </c>
      <c r="AZ38" s="474" t="str">
        <f t="shared" si="144"/>
        <v>нд</v>
      </c>
      <c r="BA38" s="474">
        <f>SUM(BA39:BA41)</f>
        <v>6.9207345599999988</v>
      </c>
      <c r="BB38" s="474">
        <f>SUM(BB39:BB41)</f>
        <v>4.207992</v>
      </c>
      <c r="BC38" s="474">
        <f t="shared" ref="BC38" si="145">SUM(BC39:BC41)</f>
        <v>6.0124189207830296</v>
      </c>
      <c r="BD38" s="474" t="str">
        <f>BD41</f>
        <v>нд</v>
      </c>
      <c r="BE38" s="474" t="str">
        <f t="shared" ref="BE38:BJ38" si="146">BE41</f>
        <v>нд</v>
      </c>
      <c r="BF38" s="474">
        <f t="shared" si="146"/>
        <v>1.5649999999999999</v>
      </c>
      <c r="BG38" s="474">
        <f t="shared" si="146"/>
        <v>4.4474189207830293</v>
      </c>
      <c r="BH38" s="474">
        <f t="shared" ref="BH38" si="147">SUM(BH39:BH41)</f>
        <v>6.0124189207830296</v>
      </c>
      <c r="BI38" s="474" t="str">
        <f t="shared" si="146"/>
        <v>нд</v>
      </c>
      <c r="BJ38" s="474" t="str">
        <f t="shared" si="146"/>
        <v>нд</v>
      </c>
      <c r="BK38" s="474">
        <f t="shared" ref="BK38:BL38" si="148">SUM(BK39:BK41)</f>
        <v>1.5649999999999999</v>
      </c>
      <c r="BL38" s="474">
        <f t="shared" si="148"/>
        <v>4.4474189207830293</v>
      </c>
      <c r="BM38" s="474" t="str">
        <f>BM39</f>
        <v>нд</v>
      </c>
      <c r="BN38" s="474" t="str">
        <f>BN39</f>
        <v>нд</v>
      </c>
      <c r="BO38" s="474" t="str">
        <f t="shared" ref="BO38:BV38" si="149">BO39</f>
        <v>нд</v>
      </c>
      <c r="BP38" s="474" t="str">
        <f t="shared" si="149"/>
        <v>нд</v>
      </c>
      <c r="BQ38" s="474" t="str">
        <f t="shared" si="149"/>
        <v>нд</v>
      </c>
      <c r="BR38" s="474" t="str">
        <f t="shared" si="149"/>
        <v>нд</v>
      </c>
      <c r="BS38" s="474" t="str">
        <f t="shared" si="149"/>
        <v>нд</v>
      </c>
      <c r="BT38" s="474" t="str">
        <f t="shared" si="149"/>
        <v>нд</v>
      </c>
      <c r="BU38" s="474" t="str">
        <f t="shared" si="149"/>
        <v>нд</v>
      </c>
      <c r="BV38" s="474" t="str">
        <f t="shared" si="149"/>
        <v>нд</v>
      </c>
      <c r="BW38" s="474">
        <f t="shared" ref="BW38" si="150">SUM(BW39:BW41)</f>
        <v>13.471602949481531</v>
      </c>
      <c r="BX38" s="474" t="str">
        <f>BX39</f>
        <v>нд</v>
      </c>
      <c r="BY38" s="474" t="str">
        <f>BY39</f>
        <v>нд</v>
      </c>
      <c r="BZ38" s="474">
        <f t="shared" ref="BZ38" si="151">SUM(BZ39:BZ41)</f>
        <v>3.8289999999999997</v>
      </c>
      <c r="CA38" s="474">
        <f t="shared" ref="CA38:CB38" si="152">SUM(CA39:CA41)</f>
        <v>9.64260294948153</v>
      </c>
      <c r="CB38" s="474">
        <f t="shared" si="152"/>
        <v>17.141145480783027</v>
      </c>
      <c r="CC38" s="474" t="str">
        <f t="shared" ref="CC38:CG38" si="153">CC39</f>
        <v>нд</v>
      </c>
      <c r="CD38" s="474" t="str">
        <f t="shared" si="153"/>
        <v>нд</v>
      </c>
      <c r="CE38" s="474">
        <f t="shared" ref="CE38:CF38" si="154">SUM(CE39:CE41)</f>
        <v>8.4857345599999991</v>
      </c>
      <c r="CF38" s="474">
        <f t="shared" si="154"/>
        <v>8.6554109207830301</v>
      </c>
      <c r="CG38" s="474" t="str">
        <f t="shared" si="153"/>
        <v>нд</v>
      </c>
    </row>
    <row r="39" spans="1:85" s="468" customFormat="1" ht="16.5" customHeight="1" x14ac:dyDescent="0.25">
      <c r="A39" s="187" t="s">
        <v>468</v>
      </c>
      <c r="B39" s="399" t="s">
        <v>623</v>
      </c>
      <c r="C39" s="410" t="s">
        <v>1352</v>
      </c>
      <c r="D39" s="410" t="s">
        <v>33</v>
      </c>
      <c r="E39" s="402">
        <v>2024</v>
      </c>
      <c r="F39" s="402">
        <v>2024</v>
      </c>
      <c r="G39" s="402">
        <v>2024</v>
      </c>
      <c r="H39" s="405">
        <v>6.5930833333333343</v>
      </c>
      <c r="I39" s="405">
        <f>H39</f>
        <v>6.5930833333333343</v>
      </c>
      <c r="J39" s="406" t="s">
        <v>1355</v>
      </c>
      <c r="K39" s="405">
        <f>5.6416*1.2</f>
        <v>6.7699199999999999</v>
      </c>
      <c r="L39" s="411">
        <f>K39</f>
        <v>6.7699199999999999</v>
      </c>
      <c r="M39" s="411" t="s">
        <v>1358</v>
      </c>
      <c r="N39" s="411" t="s">
        <v>33</v>
      </c>
      <c r="O39" s="411" t="s">
        <v>33</v>
      </c>
      <c r="P39" s="411">
        <f>H39</f>
        <v>6.5930833333333343</v>
      </c>
      <c r="Q39" s="411">
        <f>P39*Ф17!E15*Ф17!F15*Ф17!G15</f>
        <v>7.4591840286985009</v>
      </c>
      <c r="R39" s="411">
        <f>L39</f>
        <v>6.7699199999999999</v>
      </c>
      <c r="S39" s="411">
        <f>R39*1.043</f>
        <v>7.0610265599999993</v>
      </c>
      <c r="T39" s="411">
        <f t="shared" ref="T39" si="155">Q39</f>
        <v>7.4591840286985009</v>
      </c>
      <c r="U39" s="410">
        <f t="shared" si="124"/>
        <v>7.0610265599999993</v>
      </c>
      <c r="V39" s="411" t="s">
        <v>33</v>
      </c>
      <c r="W39" s="411" t="s">
        <v>33</v>
      </c>
      <c r="X39" s="411" t="s">
        <v>33</v>
      </c>
      <c r="Y39" s="411" t="s">
        <v>33</v>
      </c>
      <c r="Z39" s="411" t="s">
        <v>33</v>
      </c>
      <c r="AA39" s="411" t="s">
        <v>33</v>
      </c>
      <c r="AB39" s="411" t="s">
        <v>33</v>
      </c>
      <c r="AC39" s="411" t="s">
        <v>33</v>
      </c>
      <c r="AD39" s="411" t="s">
        <v>33</v>
      </c>
      <c r="AE39" s="411" t="s">
        <v>33</v>
      </c>
      <c r="AF39" s="411" t="s">
        <v>33</v>
      </c>
      <c r="AG39" s="411" t="s">
        <v>33</v>
      </c>
      <c r="AH39" s="411" t="s">
        <v>33</v>
      </c>
      <c r="AI39" s="411" t="s">
        <v>33</v>
      </c>
      <c r="AJ39" s="411" t="s">
        <v>33</v>
      </c>
      <c r="AK39" s="411" t="s">
        <v>33</v>
      </c>
      <c r="AL39" s="411" t="s">
        <v>33</v>
      </c>
      <c r="AM39" s="411" t="s">
        <v>33</v>
      </c>
      <c r="AN39" s="411" t="s">
        <v>33</v>
      </c>
      <c r="AO39" s="411" t="s">
        <v>33</v>
      </c>
      <c r="AP39" s="411" t="s">
        <v>33</v>
      </c>
      <c r="AQ39" s="411" t="s">
        <v>33</v>
      </c>
      <c r="AR39" s="411" t="s">
        <v>33</v>
      </c>
      <c r="AS39" s="411">
        <f t="shared" ref="AS39" si="156">IF(E39=2024,T39,0)</f>
        <v>7.4591840286985009</v>
      </c>
      <c r="AT39" s="411" t="s">
        <v>33</v>
      </c>
      <c r="AU39" s="411" t="s">
        <v>33</v>
      </c>
      <c r="AV39" s="411">
        <v>2.2639999999999998</v>
      </c>
      <c r="AW39" s="411">
        <f>AS39-AV39</f>
        <v>5.1951840286985007</v>
      </c>
      <c r="AX39" s="410">
        <f t="shared" ref="AX39:AX40" si="157">U39</f>
        <v>7.0610265599999993</v>
      </c>
      <c r="AY39" s="411" t="s">
        <v>33</v>
      </c>
      <c r="AZ39" s="411" t="s">
        <v>33</v>
      </c>
      <c r="BA39" s="411">
        <f>AX39-BB39</f>
        <v>2.8530345599999993</v>
      </c>
      <c r="BB39" s="410">
        <f>3.50666*1.2</f>
        <v>4.207992</v>
      </c>
      <c r="BC39" s="411" t="s">
        <v>33</v>
      </c>
      <c r="BD39" s="411" t="s">
        <v>33</v>
      </c>
      <c r="BE39" s="411" t="s">
        <v>33</v>
      </c>
      <c r="BF39" s="411" t="s">
        <v>33</v>
      </c>
      <c r="BG39" s="411" t="s">
        <v>33</v>
      </c>
      <c r="BH39" s="411" t="s">
        <v>33</v>
      </c>
      <c r="BI39" s="411" t="s">
        <v>33</v>
      </c>
      <c r="BJ39" s="411" t="s">
        <v>33</v>
      </c>
      <c r="BK39" s="411" t="s">
        <v>33</v>
      </c>
      <c r="BL39" s="411" t="s">
        <v>33</v>
      </c>
      <c r="BM39" s="411" t="s">
        <v>33</v>
      </c>
      <c r="BN39" s="411" t="s">
        <v>33</v>
      </c>
      <c r="BO39" s="411" t="s">
        <v>33</v>
      </c>
      <c r="BP39" s="411" t="s">
        <v>33</v>
      </c>
      <c r="BQ39" s="411" t="s">
        <v>33</v>
      </c>
      <c r="BR39" s="411" t="s">
        <v>33</v>
      </c>
      <c r="BS39" s="411" t="s">
        <v>33</v>
      </c>
      <c r="BT39" s="411" t="s">
        <v>33</v>
      </c>
      <c r="BU39" s="411" t="s">
        <v>33</v>
      </c>
      <c r="BV39" s="411" t="s">
        <v>33</v>
      </c>
      <c r="BW39" s="411">
        <f>Q39</f>
        <v>7.4591840286985009</v>
      </c>
      <c r="BX39" s="411" t="s">
        <v>33</v>
      </c>
      <c r="BY39" s="411" t="s">
        <v>33</v>
      </c>
      <c r="BZ39" s="411">
        <f t="shared" ref="BZ39:CB40" si="158">AV39</f>
        <v>2.2639999999999998</v>
      </c>
      <c r="CA39" s="411">
        <f t="shared" si="158"/>
        <v>5.1951840286985007</v>
      </c>
      <c r="CB39" s="410">
        <f t="shared" si="158"/>
        <v>7.0610265599999993</v>
      </c>
      <c r="CC39" s="410" t="str">
        <f t="shared" ref="CC39:CF40" si="159">AY39</f>
        <v>нд</v>
      </c>
      <c r="CD39" s="410" t="str">
        <f t="shared" si="159"/>
        <v>нд</v>
      </c>
      <c r="CE39" s="410">
        <f t="shared" si="159"/>
        <v>2.8530345599999993</v>
      </c>
      <c r="CF39" s="410">
        <f t="shared" si="159"/>
        <v>4.207992</v>
      </c>
      <c r="CG39" s="402" t="s">
        <v>33</v>
      </c>
    </row>
    <row r="40" spans="1:85" s="468" customFormat="1" ht="16.5" customHeight="1" x14ac:dyDescent="0.25">
      <c r="A40" s="187" t="s">
        <v>622</v>
      </c>
      <c r="B40" s="237" t="s">
        <v>1337</v>
      </c>
      <c r="C40" s="410" t="s">
        <v>1353</v>
      </c>
      <c r="D40" s="410" t="s">
        <v>33</v>
      </c>
      <c r="E40" s="402">
        <v>2024</v>
      </c>
      <c r="F40" s="402">
        <v>2024</v>
      </c>
      <c r="G40" s="402">
        <v>2024</v>
      </c>
      <c r="H40" s="408">
        <v>0</v>
      </c>
      <c r="I40" s="408">
        <f>H40</f>
        <v>0</v>
      </c>
      <c r="J40" s="406" t="s">
        <v>1355</v>
      </c>
      <c r="K40" s="405">
        <f>3.25*1.2</f>
        <v>3.9</v>
      </c>
      <c r="L40" s="411">
        <f>K40</f>
        <v>3.9</v>
      </c>
      <c r="M40" s="411" t="s">
        <v>1358</v>
      </c>
      <c r="N40" s="411" t="s">
        <v>33</v>
      </c>
      <c r="O40" s="411" t="s">
        <v>33</v>
      </c>
      <c r="P40" s="411">
        <v>0</v>
      </c>
      <c r="Q40" s="411">
        <f>P40*Ф17!E34*Ф17!F34*Ф17!G34*Ф17!H34</f>
        <v>0</v>
      </c>
      <c r="R40" s="410">
        <f>K40</f>
        <v>3.9</v>
      </c>
      <c r="S40" s="411">
        <f>R40*1.043</f>
        <v>4.0676999999999994</v>
      </c>
      <c r="T40" s="411">
        <f t="shared" ref="T40" si="160">Q40</f>
        <v>0</v>
      </c>
      <c r="U40" s="410">
        <f t="shared" si="124"/>
        <v>4.0676999999999994</v>
      </c>
      <c r="V40" s="411" t="s">
        <v>33</v>
      </c>
      <c r="W40" s="411" t="s">
        <v>33</v>
      </c>
      <c r="X40" s="411" t="s">
        <v>33</v>
      </c>
      <c r="Y40" s="411" t="s">
        <v>33</v>
      </c>
      <c r="Z40" s="411" t="s">
        <v>33</v>
      </c>
      <c r="AA40" s="411" t="s">
        <v>33</v>
      </c>
      <c r="AB40" s="411" t="s">
        <v>33</v>
      </c>
      <c r="AC40" s="411" t="s">
        <v>33</v>
      </c>
      <c r="AD40" s="411" t="s">
        <v>33</v>
      </c>
      <c r="AE40" s="411" t="s">
        <v>33</v>
      </c>
      <c r="AF40" s="411" t="s">
        <v>33</v>
      </c>
      <c r="AG40" s="411" t="s">
        <v>33</v>
      </c>
      <c r="AH40" s="411" t="s">
        <v>33</v>
      </c>
      <c r="AI40" s="411" t="s">
        <v>33</v>
      </c>
      <c r="AJ40" s="411" t="s">
        <v>33</v>
      </c>
      <c r="AK40" s="411" t="s">
        <v>33</v>
      </c>
      <c r="AL40" s="411" t="s">
        <v>33</v>
      </c>
      <c r="AM40" s="411" t="s">
        <v>33</v>
      </c>
      <c r="AN40" s="411" t="s">
        <v>33</v>
      </c>
      <c r="AO40" s="411" t="s">
        <v>33</v>
      </c>
      <c r="AP40" s="411" t="s">
        <v>33</v>
      </c>
      <c r="AQ40" s="411" t="s">
        <v>33</v>
      </c>
      <c r="AR40" s="411" t="s">
        <v>33</v>
      </c>
      <c r="AS40" s="411">
        <f t="shared" ref="AS40" si="161">IF(E40=2024,T40,0)</f>
        <v>0</v>
      </c>
      <c r="AT40" s="411" t="s">
        <v>33</v>
      </c>
      <c r="AU40" s="411" t="s">
        <v>33</v>
      </c>
      <c r="AV40" s="411" t="s">
        <v>33</v>
      </c>
      <c r="AW40" s="411" t="s">
        <v>33</v>
      </c>
      <c r="AX40" s="410">
        <f t="shared" si="157"/>
        <v>4.0676999999999994</v>
      </c>
      <c r="AY40" s="411" t="s">
        <v>33</v>
      </c>
      <c r="AZ40" s="411" t="s">
        <v>33</v>
      </c>
      <c r="BA40" s="410">
        <f t="shared" ref="BA40" si="162">AX40</f>
        <v>4.0676999999999994</v>
      </c>
      <c r="BB40" s="411" t="s">
        <v>33</v>
      </c>
      <c r="BC40" s="411" t="s">
        <v>33</v>
      </c>
      <c r="BD40" s="411" t="s">
        <v>33</v>
      </c>
      <c r="BE40" s="411" t="s">
        <v>33</v>
      </c>
      <c r="BF40" s="411" t="s">
        <v>33</v>
      </c>
      <c r="BG40" s="411" t="s">
        <v>33</v>
      </c>
      <c r="BH40" s="411" t="s">
        <v>33</v>
      </c>
      <c r="BI40" s="411" t="s">
        <v>33</v>
      </c>
      <c r="BJ40" s="411" t="s">
        <v>33</v>
      </c>
      <c r="BK40" s="411" t="s">
        <v>33</v>
      </c>
      <c r="BL40" s="411" t="s">
        <v>33</v>
      </c>
      <c r="BM40" s="411" t="s">
        <v>33</v>
      </c>
      <c r="BN40" s="411" t="s">
        <v>33</v>
      </c>
      <c r="BO40" s="411" t="s">
        <v>33</v>
      </c>
      <c r="BP40" s="411" t="s">
        <v>33</v>
      </c>
      <c r="BQ40" s="411" t="s">
        <v>33</v>
      </c>
      <c r="BR40" s="411" t="s">
        <v>33</v>
      </c>
      <c r="BS40" s="411" t="s">
        <v>33</v>
      </c>
      <c r="BT40" s="411" t="s">
        <v>33</v>
      </c>
      <c r="BU40" s="411" t="s">
        <v>33</v>
      </c>
      <c r="BV40" s="411" t="s">
        <v>33</v>
      </c>
      <c r="BW40" s="411" t="s">
        <v>33</v>
      </c>
      <c r="BX40" s="411" t="s">
        <v>33</v>
      </c>
      <c r="BY40" s="411" t="s">
        <v>33</v>
      </c>
      <c r="BZ40" s="411" t="str">
        <f t="shared" si="158"/>
        <v>нд</v>
      </c>
      <c r="CA40" s="411" t="str">
        <f t="shared" si="158"/>
        <v>нд</v>
      </c>
      <c r="CB40" s="410">
        <f t="shared" si="158"/>
        <v>4.0676999999999994</v>
      </c>
      <c r="CC40" s="410" t="str">
        <f t="shared" si="159"/>
        <v>нд</v>
      </c>
      <c r="CD40" s="410" t="str">
        <f t="shared" si="159"/>
        <v>нд</v>
      </c>
      <c r="CE40" s="410">
        <f t="shared" si="159"/>
        <v>4.0676999999999994</v>
      </c>
      <c r="CF40" s="410" t="str">
        <f t="shared" si="159"/>
        <v>нд</v>
      </c>
      <c r="CG40" s="402" t="s">
        <v>33</v>
      </c>
    </row>
    <row r="41" spans="1:85" s="468" customFormat="1" ht="16.5" customHeight="1" x14ac:dyDescent="0.25">
      <c r="A41" s="187" t="s">
        <v>1335</v>
      </c>
      <c r="B41" s="399" t="s">
        <v>624</v>
      </c>
      <c r="C41" s="410" t="s">
        <v>646</v>
      </c>
      <c r="D41" s="410" t="s">
        <v>33</v>
      </c>
      <c r="E41" s="402">
        <v>2025</v>
      </c>
      <c r="F41" s="402">
        <v>2025</v>
      </c>
      <c r="G41" s="402" t="s">
        <v>33</v>
      </c>
      <c r="H41" s="405">
        <v>5.1050000000000004</v>
      </c>
      <c r="I41" s="405">
        <f>H41</f>
        <v>5.1050000000000004</v>
      </c>
      <c r="J41" s="406" t="s">
        <v>1355</v>
      </c>
      <c r="K41" s="407">
        <f>H41</f>
        <v>5.1050000000000004</v>
      </c>
      <c r="L41" s="410">
        <f>K41</f>
        <v>5.1050000000000004</v>
      </c>
      <c r="M41" s="411" t="s">
        <v>33</v>
      </c>
      <c r="N41" s="411" t="s">
        <v>33</v>
      </c>
      <c r="O41" s="411" t="s">
        <v>33</v>
      </c>
      <c r="P41" s="411">
        <f>H41</f>
        <v>5.1050000000000004</v>
      </c>
      <c r="Q41" s="411">
        <f>P41*Ф17!E15*Ф17!F15*Ф17!G15*Ф17!H15</f>
        <v>6.0124189207830296</v>
      </c>
      <c r="R41" s="410">
        <f t="shared" ref="R41" si="163">L41</f>
        <v>5.1050000000000004</v>
      </c>
      <c r="S41" s="410">
        <f t="shared" ref="S41" si="164">Q41</f>
        <v>6.0124189207830296</v>
      </c>
      <c r="T41" s="411">
        <f>Q41</f>
        <v>6.0124189207830296</v>
      </c>
      <c r="U41" s="410">
        <f t="shared" si="124"/>
        <v>6.0124189207830296</v>
      </c>
      <c r="V41" s="411" t="s">
        <v>33</v>
      </c>
      <c r="W41" s="411" t="s">
        <v>33</v>
      </c>
      <c r="X41" s="411" t="s">
        <v>33</v>
      </c>
      <c r="Y41" s="411" t="s">
        <v>33</v>
      </c>
      <c r="Z41" s="411" t="s">
        <v>33</v>
      </c>
      <c r="AA41" s="411" t="s">
        <v>33</v>
      </c>
      <c r="AB41" s="411" t="s">
        <v>33</v>
      </c>
      <c r="AC41" s="411" t="s">
        <v>33</v>
      </c>
      <c r="AD41" s="411" t="s">
        <v>33</v>
      </c>
      <c r="AE41" s="411" t="s">
        <v>33</v>
      </c>
      <c r="AF41" s="411" t="s">
        <v>33</v>
      </c>
      <c r="AG41" s="411" t="s">
        <v>33</v>
      </c>
      <c r="AH41" s="411" t="s">
        <v>33</v>
      </c>
      <c r="AI41" s="411" t="s">
        <v>33</v>
      </c>
      <c r="AJ41" s="411" t="s">
        <v>33</v>
      </c>
      <c r="AK41" s="411" t="s">
        <v>33</v>
      </c>
      <c r="AL41" s="411" t="s">
        <v>33</v>
      </c>
      <c r="AM41" s="411" t="s">
        <v>33</v>
      </c>
      <c r="AN41" s="411" t="s">
        <v>33</v>
      </c>
      <c r="AO41" s="411" t="s">
        <v>33</v>
      </c>
      <c r="AP41" s="411" t="s">
        <v>33</v>
      </c>
      <c r="AQ41" s="411" t="s">
        <v>33</v>
      </c>
      <c r="AR41" s="411" t="s">
        <v>33</v>
      </c>
      <c r="AS41" s="411" t="s">
        <v>33</v>
      </c>
      <c r="AT41" s="411" t="s">
        <v>33</v>
      </c>
      <c r="AU41" s="411" t="s">
        <v>33</v>
      </c>
      <c r="AV41" s="411" t="s">
        <v>33</v>
      </c>
      <c r="AW41" s="411" t="s">
        <v>33</v>
      </c>
      <c r="AX41" s="411" t="s">
        <v>33</v>
      </c>
      <c r="AY41" s="411" t="s">
        <v>33</v>
      </c>
      <c r="AZ41" s="411" t="s">
        <v>33</v>
      </c>
      <c r="BA41" s="411" t="s">
        <v>33</v>
      </c>
      <c r="BB41" s="411" t="s">
        <v>33</v>
      </c>
      <c r="BC41" s="411">
        <f>IF(E41=2025,T41,0)</f>
        <v>6.0124189207830296</v>
      </c>
      <c r="BD41" s="411" t="s">
        <v>33</v>
      </c>
      <c r="BE41" s="411" t="s">
        <v>33</v>
      </c>
      <c r="BF41" s="411">
        <v>1.5649999999999999</v>
      </c>
      <c r="BG41" s="411">
        <f>BC41-BF41</f>
        <v>4.4474189207830293</v>
      </c>
      <c r="BH41" s="411">
        <f>BC41</f>
        <v>6.0124189207830296</v>
      </c>
      <c r="BI41" s="411" t="s">
        <v>33</v>
      </c>
      <c r="BJ41" s="411" t="s">
        <v>33</v>
      </c>
      <c r="BK41" s="411">
        <f>BF41</f>
        <v>1.5649999999999999</v>
      </c>
      <c r="BL41" s="411">
        <f>BG41</f>
        <v>4.4474189207830293</v>
      </c>
      <c r="BM41" s="411" t="s">
        <v>33</v>
      </c>
      <c r="BN41" s="411" t="s">
        <v>33</v>
      </c>
      <c r="BO41" s="411" t="s">
        <v>33</v>
      </c>
      <c r="BP41" s="411" t="s">
        <v>33</v>
      </c>
      <c r="BQ41" s="411" t="s">
        <v>33</v>
      </c>
      <c r="BR41" s="411" t="s">
        <v>33</v>
      </c>
      <c r="BS41" s="411" t="s">
        <v>33</v>
      </c>
      <c r="BT41" s="411" t="s">
        <v>33</v>
      </c>
      <c r="BU41" s="411" t="s">
        <v>33</v>
      </c>
      <c r="BV41" s="411" t="s">
        <v>33</v>
      </c>
      <c r="BW41" s="411">
        <f>Q41</f>
        <v>6.0124189207830296</v>
      </c>
      <c r="BX41" s="411" t="s">
        <v>33</v>
      </c>
      <c r="BY41" s="411" t="s">
        <v>33</v>
      </c>
      <c r="BZ41" s="411">
        <f>BF41</f>
        <v>1.5649999999999999</v>
      </c>
      <c r="CA41" s="411">
        <f>BG41</f>
        <v>4.4474189207830293</v>
      </c>
      <c r="CB41" s="410">
        <f>BH41</f>
        <v>6.0124189207830296</v>
      </c>
      <c r="CC41" s="410" t="str">
        <f t="shared" ref="CC41:CF41" si="165">BI41</f>
        <v>нд</v>
      </c>
      <c r="CD41" s="410" t="str">
        <f t="shared" si="165"/>
        <v>нд</v>
      </c>
      <c r="CE41" s="410">
        <f t="shared" si="165"/>
        <v>1.5649999999999999</v>
      </c>
      <c r="CF41" s="410">
        <f t="shared" si="165"/>
        <v>4.4474189207830293</v>
      </c>
      <c r="CG41" s="402" t="s">
        <v>33</v>
      </c>
    </row>
    <row r="44" spans="1:85" x14ac:dyDescent="0.25">
      <c r="B44" s="117" t="s">
        <v>52</v>
      </c>
      <c r="C44" s="390"/>
      <c r="D44" s="390"/>
      <c r="E44" s="390" t="s">
        <v>1325</v>
      </c>
    </row>
    <row r="49" spans="1:77" s="30" customFormat="1" x14ac:dyDescent="0.25">
      <c r="A49" s="633" t="s">
        <v>156</v>
      </c>
      <c r="B49" s="633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87"/>
      <c r="R49" s="417"/>
      <c r="S49" s="417"/>
      <c r="T49" s="417"/>
      <c r="U49" s="417"/>
      <c r="Y49" s="88"/>
      <c r="Z49" s="88"/>
      <c r="AA49" s="88"/>
      <c r="AB49" s="88"/>
      <c r="AC49" s="88"/>
      <c r="AD49" s="88"/>
      <c r="AE49" s="88"/>
      <c r="AF49" s="88"/>
      <c r="AG49" s="88"/>
      <c r="AL49" s="88"/>
      <c r="BA49" s="88"/>
      <c r="BB49" s="88"/>
      <c r="BK49" s="88"/>
      <c r="BL49" s="88"/>
      <c r="BU49" s="88"/>
      <c r="BV49" s="88"/>
      <c r="BW49" s="88"/>
      <c r="BX49" s="88"/>
      <c r="BY49" s="88"/>
    </row>
    <row r="50" spans="1:77" s="30" customFormat="1" x14ac:dyDescent="0.25">
      <c r="A50" s="616" t="s">
        <v>157</v>
      </c>
      <c r="B50" s="616"/>
      <c r="C50" s="616"/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  <c r="P50" s="616"/>
      <c r="Q50" s="89"/>
      <c r="R50" s="413"/>
      <c r="S50" s="413"/>
      <c r="T50" s="413"/>
      <c r="U50" s="413"/>
      <c r="Y50" s="88"/>
      <c r="Z50" s="88"/>
      <c r="AA50" s="88"/>
      <c r="AB50" s="88"/>
      <c r="AC50" s="88"/>
      <c r="AD50" s="88"/>
      <c r="AE50" s="88"/>
      <c r="AF50" s="88"/>
      <c r="AG50" s="88"/>
      <c r="AL50" s="88"/>
      <c r="BA50" s="88"/>
      <c r="BB50" s="88"/>
      <c r="BK50" s="88"/>
      <c r="BL50" s="88"/>
      <c r="BU50" s="88"/>
      <c r="BV50" s="88"/>
      <c r="BW50" s="88"/>
      <c r="BX50" s="88"/>
      <c r="BY50" s="88"/>
    </row>
    <row r="51" spans="1:77" s="30" customFormat="1" x14ac:dyDescent="0.25">
      <c r="A51" s="616" t="s">
        <v>158</v>
      </c>
      <c r="B51" s="616"/>
      <c r="C51" s="616"/>
      <c r="D51" s="616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6"/>
      <c r="P51" s="616"/>
      <c r="Q51" s="89"/>
      <c r="R51" s="413"/>
      <c r="S51" s="413"/>
      <c r="T51" s="413"/>
      <c r="U51" s="413"/>
      <c r="Y51" s="88"/>
      <c r="Z51" s="88"/>
      <c r="AA51" s="88"/>
      <c r="AB51" s="88"/>
      <c r="AC51" s="88"/>
      <c r="AD51" s="88"/>
      <c r="AE51" s="88"/>
      <c r="AF51" s="88"/>
      <c r="AG51" s="88"/>
      <c r="AL51" s="88"/>
      <c r="BA51" s="88"/>
      <c r="BB51" s="88"/>
      <c r="BK51" s="88"/>
      <c r="BL51" s="88"/>
      <c r="BU51" s="88"/>
      <c r="BV51" s="88"/>
      <c r="BW51" s="88"/>
      <c r="BX51" s="88"/>
      <c r="BY51" s="88"/>
    </row>
    <row r="52" spans="1:77" s="30" customFormat="1" x14ac:dyDescent="0.25">
      <c r="A52" s="616" t="s">
        <v>159</v>
      </c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89"/>
      <c r="R52" s="413"/>
      <c r="S52" s="413"/>
      <c r="T52" s="413"/>
      <c r="U52" s="413"/>
      <c r="Y52" s="88"/>
      <c r="Z52" s="88"/>
      <c r="AA52" s="88"/>
      <c r="AB52" s="88"/>
      <c r="AC52" s="88"/>
      <c r="AD52" s="88"/>
      <c r="AE52" s="88"/>
      <c r="AF52" s="88"/>
      <c r="AG52" s="88"/>
      <c r="AL52" s="88"/>
      <c r="BA52" s="88"/>
      <c r="BB52" s="88"/>
      <c r="BK52" s="88"/>
      <c r="BL52" s="88"/>
      <c r="BU52" s="88"/>
      <c r="BV52" s="88"/>
      <c r="BW52" s="88"/>
      <c r="BX52" s="88"/>
      <c r="BY52" s="88"/>
    </row>
  </sheetData>
  <mergeCells count="43">
    <mergeCell ref="CG11:CG13"/>
    <mergeCell ref="Y12:AC12"/>
    <mergeCell ref="AD12:AH12"/>
    <mergeCell ref="AI12:AM12"/>
    <mergeCell ref="AN12:AR12"/>
    <mergeCell ref="AS12:AW12"/>
    <mergeCell ref="BW12:CA12"/>
    <mergeCell ref="CB12:CF12"/>
    <mergeCell ref="BM12:BQ12"/>
    <mergeCell ref="BR12:BV12"/>
    <mergeCell ref="BC12:BG12"/>
    <mergeCell ref="BH12:BL12"/>
    <mergeCell ref="A49:P49"/>
    <mergeCell ref="A50:P50"/>
    <mergeCell ref="A1:X1"/>
    <mergeCell ref="A2:X2"/>
    <mergeCell ref="A3:X3"/>
    <mergeCell ref="A4:X4"/>
    <mergeCell ref="A5:X5"/>
    <mergeCell ref="A6:X6"/>
    <mergeCell ref="A9:X9"/>
    <mergeCell ref="B11:B13"/>
    <mergeCell ref="C11:C13"/>
    <mergeCell ref="D11:D13"/>
    <mergeCell ref="E11:E13"/>
    <mergeCell ref="F11:G12"/>
    <mergeCell ref="B8:U8"/>
    <mergeCell ref="CG26:CG27"/>
    <mergeCell ref="A51:P51"/>
    <mergeCell ref="A52:P52"/>
    <mergeCell ref="Y11:CF11"/>
    <mergeCell ref="H11:M11"/>
    <mergeCell ref="N11:N13"/>
    <mergeCell ref="O11:O13"/>
    <mergeCell ref="P11:S11"/>
    <mergeCell ref="T11:U12"/>
    <mergeCell ref="V11:X12"/>
    <mergeCell ref="H12:J12"/>
    <mergeCell ref="K12:M12"/>
    <mergeCell ref="P12:Q12"/>
    <mergeCell ref="R12:S12"/>
    <mergeCell ref="A11:A13"/>
    <mergeCell ref="AX12:BB12"/>
  </mergeCells>
  <pageMargins left="0.23622047244094491" right="0.23622047244094491" top="0.74803149606299213" bottom="0.74803149606299213" header="0.31496062992125984" footer="0.31496062992125984"/>
  <pageSetup paperSize="8" scale="41" fitToWidth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O58"/>
  <sheetViews>
    <sheetView topLeftCell="E1" zoomScale="75" zoomScaleNormal="75" workbookViewId="0">
      <selection activeCell="B20" sqref="B20"/>
    </sheetView>
  </sheetViews>
  <sheetFormatPr defaultColWidth="8.85546875" defaultRowHeight="15.75" outlineLevelRow="1" x14ac:dyDescent="0.25"/>
  <cols>
    <col min="1" max="1" width="10" style="385" customWidth="1"/>
    <col min="2" max="2" width="79.140625" style="385" customWidth="1"/>
    <col min="3" max="3" width="11.140625" style="385" customWidth="1"/>
    <col min="4" max="4" width="7.140625" style="385" customWidth="1"/>
    <col min="5" max="5" width="6.42578125" style="403" customWidth="1"/>
    <col min="6" max="6" width="8.7109375" style="403" customWidth="1"/>
    <col min="7" max="7" width="9.28515625" style="385" customWidth="1"/>
    <col min="8" max="8" width="9.5703125" style="385" customWidth="1"/>
    <col min="9" max="9" width="11.140625" style="385" customWidth="1"/>
    <col min="10" max="10" width="9.85546875" style="404" customWidth="1"/>
    <col min="11" max="11" width="11.28515625" style="385" customWidth="1"/>
    <col min="12" max="12" width="7.5703125" style="385" customWidth="1"/>
    <col min="13" max="13" width="10.28515625" style="404" customWidth="1"/>
    <col min="14" max="14" width="11" style="385" customWidth="1"/>
    <col min="15" max="15" width="6" style="385" customWidth="1"/>
    <col min="16" max="16" width="10.7109375" style="385" customWidth="1"/>
    <col min="17" max="17" width="7.28515625" style="385" customWidth="1"/>
    <col min="18" max="18" width="9.5703125" style="385" customWidth="1"/>
    <col min="19" max="19" width="10.7109375" style="385" customWidth="1"/>
    <col min="20" max="20" width="5.42578125" style="385" customWidth="1"/>
    <col min="21" max="21" width="4.85546875" style="385" customWidth="1"/>
    <col min="22" max="22" width="7" style="385" customWidth="1"/>
    <col min="23" max="23" width="4.85546875" style="385" customWidth="1"/>
    <col min="24" max="24" width="7.28515625" style="385" customWidth="1"/>
    <col min="25" max="25" width="7.140625" style="385" customWidth="1"/>
    <col min="26" max="26" width="10.7109375" style="385" customWidth="1"/>
    <col min="27" max="27" width="7" style="385" customWidth="1"/>
    <col min="28" max="28" width="11.7109375" style="385" customWidth="1"/>
    <col min="29" max="29" width="8.85546875" style="385" customWidth="1"/>
    <col min="30" max="30" width="8.7109375" style="385" customWidth="1"/>
    <col min="31" max="31" width="9.5703125" style="385" customWidth="1"/>
    <col min="32" max="32" width="9.7109375" style="385" customWidth="1"/>
    <col min="33" max="33" width="10.42578125" style="385" customWidth="1"/>
    <col min="34" max="34" width="10" style="385" customWidth="1"/>
    <col min="35" max="35" width="9.85546875" style="385" customWidth="1"/>
    <col min="36" max="36" width="10" style="385" customWidth="1"/>
    <col min="37" max="37" width="10.7109375" style="385" customWidth="1"/>
    <col min="38" max="38" width="9.5703125" style="385" customWidth="1"/>
    <col min="39" max="39" width="10.7109375" style="385" customWidth="1"/>
    <col min="40" max="40" width="10.85546875" style="385" customWidth="1"/>
    <col min="41" max="41" width="53" style="385" customWidth="1"/>
    <col min="42" max="16384" width="8.85546875" style="385"/>
  </cols>
  <sheetData>
    <row r="1" spans="1:41" s="30" customFormat="1" x14ac:dyDescent="0.25">
      <c r="A1" s="635" t="s">
        <v>160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5"/>
      <c r="AI1" s="635"/>
      <c r="AJ1" s="635"/>
      <c r="AK1" s="635"/>
      <c r="AL1" s="635"/>
      <c r="AM1" s="635"/>
      <c r="AN1" s="635"/>
      <c r="AO1" s="635"/>
    </row>
    <row r="2" spans="1:41" s="30" customFormat="1" x14ac:dyDescent="0.25">
      <c r="A2" s="419"/>
      <c r="B2" s="419"/>
      <c r="C2" s="419"/>
      <c r="D2" s="419"/>
      <c r="E2" s="419"/>
      <c r="F2" s="419"/>
      <c r="G2" s="419"/>
      <c r="H2" s="419"/>
      <c r="I2" s="419"/>
      <c r="J2" s="42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9"/>
      <c r="AO2" s="419"/>
    </row>
    <row r="3" spans="1:41" s="30" customFormat="1" x14ac:dyDescent="0.25">
      <c r="A3" s="610" t="s">
        <v>145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</row>
    <row r="4" spans="1:41" s="30" customFormat="1" x14ac:dyDescent="0.25">
      <c r="A4" s="605" t="s">
        <v>2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605"/>
    </row>
    <row r="5" spans="1:41" s="30" customFormat="1" x14ac:dyDescent="0.25">
      <c r="J5" s="95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30"/>
    </row>
    <row r="6" spans="1:41" s="30" customFormat="1" x14ac:dyDescent="0.25">
      <c r="A6" s="600" t="s">
        <v>1365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</row>
    <row r="7" spans="1:41" s="30" customFormat="1" x14ac:dyDescent="0.25">
      <c r="A7" s="419"/>
      <c r="B7" s="419"/>
      <c r="C7" s="419"/>
      <c r="D7" s="419"/>
      <c r="E7" s="419"/>
      <c r="F7" s="419"/>
      <c r="G7" s="419"/>
      <c r="H7" s="419"/>
      <c r="I7" s="419"/>
      <c r="J7" s="42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9"/>
      <c r="AO7" s="419"/>
    </row>
    <row r="8" spans="1:41" s="30" customFormat="1" x14ac:dyDescent="0.25">
      <c r="A8" s="52"/>
      <c r="B8" s="636" t="s">
        <v>1346</v>
      </c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6"/>
      <c r="T8" s="636"/>
      <c r="U8" s="636"/>
      <c r="V8" s="107"/>
      <c r="W8" s="107"/>
      <c r="X8" s="107"/>
      <c r="Y8" s="107"/>
      <c r="Z8" s="107"/>
      <c r="AA8" s="107"/>
      <c r="AB8" s="107"/>
      <c r="AC8" s="107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1" s="30" customFormat="1" x14ac:dyDescent="0.25">
      <c r="A9" s="600" t="s">
        <v>174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0"/>
      <c r="AE9" s="600"/>
      <c r="AF9" s="600"/>
      <c r="AG9" s="600"/>
      <c r="AH9" s="600"/>
      <c r="AI9" s="600"/>
      <c r="AJ9" s="600"/>
      <c r="AK9" s="600"/>
      <c r="AL9" s="600"/>
      <c r="AM9" s="600"/>
      <c r="AN9" s="600"/>
      <c r="AO9" s="600"/>
    </row>
    <row r="10" spans="1:41" s="30" customFormat="1" ht="15.75" customHeight="1" x14ac:dyDescent="0.25">
      <c r="A10" s="643"/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93"/>
    </row>
    <row r="11" spans="1:41" s="30" customFormat="1" ht="90" customHeight="1" x14ac:dyDescent="0.25">
      <c r="A11" s="620" t="s">
        <v>3</v>
      </c>
      <c r="B11" s="620" t="s">
        <v>4</v>
      </c>
      <c r="C11" s="620" t="s">
        <v>5</v>
      </c>
      <c r="D11" s="638" t="s">
        <v>161</v>
      </c>
      <c r="E11" s="638" t="s">
        <v>79</v>
      </c>
      <c r="F11" s="620" t="s">
        <v>162</v>
      </c>
      <c r="G11" s="620"/>
      <c r="H11" s="620" t="s">
        <v>472</v>
      </c>
      <c r="I11" s="620"/>
      <c r="J11" s="644" t="s">
        <v>1361</v>
      </c>
      <c r="K11" s="617" t="s">
        <v>473</v>
      </c>
      <c r="L11" s="618"/>
      <c r="M11" s="618"/>
      <c r="N11" s="618"/>
      <c r="O11" s="618"/>
      <c r="P11" s="618"/>
      <c r="Q11" s="618"/>
      <c r="R11" s="618"/>
      <c r="S11" s="618"/>
      <c r="T11" s="619"/>
      <c r="U11" s="617" t="s">
        <v>163</v>
      </c>
      <c r="V11" s="618"/>
      <c r="W11" s="618"/>
      <c r="X11" s="618"/>
      <c r="Y11" s="618"/>
      <c r="Z11" s="619"/>
      <c r="AA11" s="627" t="s">
        <v>475</v>
      </c>
      <c r="AB11" s="629"/>
      <c r="AC11" s="617" t="s">
        <v>477</v>
      </c>
      <c r="AD11" s="618"/>
      <c r="AE11" s="618"/>
      <c r="AF11" s="618"/>
      <c r="AG11" s="618"/>
      <c r="AH11" s="618"/>
      <c r="AI11" s="618"/>
      <c r="AJ11" s="618"/>
      <c r="AK11" s="618"/>
      <c r="AL11" s="618"/>
      <c r="AM11" s="618"/>
      <c r="AN11" s="619"/>
      <c r="AO11" s="621" t="s">
        <v>164</v>
      </c>
    </row>
    <row r="12" spans="1:41" s="30" customFormat="1" ht="90.75" customHeight="1" x14ac:dyDescent="0.25">
      <c r="A12" s="620"/>
      <c r="B12" s="620"/>
      <c r="C12" s="620"/>
      <c r="D12" s="638"/>
      <c r="E12" s="638"/>
      <c r="F12" s="620"/>
      <c r="G12" s="620"/>
      <c r="H12" s="620"/>
      <c r="I12" s="620"/>
      <c r="J12" s="645"/>
      <c r="K12" s="617" t="s">
        <v>470</v>
      </c>
      <c r="L12" s="618"/>
      <c r="M12" s="618"/>
      <c r="N12" s="618"/>
      <c r="O12" s="619"/>
      <c r="P12" s="617" t="s">
        <v>165</v>
      </c>
      <c r="Q12" s="618"/>
      <c r="R12" s="618"/>
      <c r="S12" s="618"/>
      <c r="T12" s="619"/>
      <c r="U12" s="620" t="s">
        <v>1366</v>
      </c>
      <c r="V12" s="620"/>
      <c r="W12" s="617" t="s">
        <v>1367</v>
      </c>
      <c r="X12" s="619"/>
      <c r="Y12" s="620" t="s">
        <v>474</v>
      </c>
      <c r="Z12" s="620"/>
      <c r="AA12" s="630"/>
      <c r="AB12" s="632"/>
      <c r="AC12" s="639" t="s">
        <v>660</v>
      </c>
      <c r="AD12" s="639"/>
      <c r="AE12" s="639" t="s">
        <v>661</v>
      </c>
      <c r="AF12" s="639"/>
      <c r="AG12" s="639" t="s">
        <v>662</v>
      </c>
      <c r="AH12" s="639"/>
      <c r="AI12" s="639" t="s">
        <v>663</v>
      </c>
      <c r="AJ12" s="639"/>
      <c r="AK12" s="639" t="s">
        <v>664</v>
      </c>
      <c r="AL12" s="639"/>
      <c r="AM12" s="621" t="s">
        <v>134</v>
      </c>
      <c r="AN12" s="621" t="s">
        <v>166</v>
      </c>
      <c r="AO12" s="622"/>
    </row>
    <row r="13" spans="1:41" s="30" customFormat="1" ht="135" customHeight="1" x14ac:dyDescent="0.25">
      <c r="A13" s="620"/>
      <c r="B13" s="620"/>
      <c r="C13" s="620"/>
      <c r="D13" s="638"/>
      <c r="E13" s="638"/>
      <c r="F13" s="420" t="s">
        <v>470</v>
      </c>
      <c r="G13" s="420" t="s">
        <v>87</v>
      </c>
      <c r="H13" s="420" t="s">
        <v>470</v>
      </c>
      <c r="I13" s="420" t="s">
        <v>87</v>
      </c>
      <c r="J13" s="646"/>
      <c r="K13" s="420" t="s">
        <v>167</v>
      </c>
      <c r="L13" s="420" t="s">
        <v>168</v>
      </c>
      <c r="M13" s="420" t="s">
        <v>169</v>
      </c>
      <c r="N13" s="94" t="s">
        <v>170</v>
      </c>
      <c r="O13" s="94" t="s">
        <v>171</v>
      </c>
      <c r="P13" s="420" t="s">
        <v>167</v>
      </c>
      <c r="Q13" s="420" t="s">
        <v>168</v>
      </c>
      <c r="R13" s="420" t="s">
        <v>169</v>
      </c>
      <c r="S13" s="94" t="s">
        <v>170</v>
      </c>
      <c r="T13" s="94" t="s">
        <v>171</v>
      </c>
      <c r="U13" s="420" t="s">
        <v>172</v>
      </c>
      <c r="V13" s="420" t="s">
        <v>173</v>
      </c>
      <c r="W13" s="420" t="s">
        <v>172</v>
      </c>
      <c r="X13" s="420" t="s">
        <v>173</v>
      </c>
      <c r="Y13" s="420" t="s">
        <v>172</v>
      </c>
      <c r="Z13" s="420" t="s">
        <v>173</v>
      </c>
      <c r="AA13" s="420" t="s">
        <v>470</v>
      </c>
      <c r="AB13" s="420" t="s">
        <v>87</v>
      </c>
      <c r="AC13" s="420" t="s">
        <v>464</v>
      </c>
      <c r="AD13" s="420" t="s">
        <v>476</v>
      </c>
      <c r="AE13" s="420" t="s">
        <v>464</v>
      </c>
      <c r="AF13" s="420" t="s">
        <v>476</v>
      </c>
      <c r="AG13" s="420" t="s">
        <v>464</v>
      </c>
      <c r="AH13" s="420" t="s">
        <v>476</v>
      </c>
      <c r="AI13" s="420" t="s">
        <v>464</v>
      </c>
      <c r="AJ13" s="420" t="s">
        <v>476</v>
      </c>
      <c r="AK13" s="420" t="s">
        <v>464</v>
      </c>
      <c r="AL13" s="420" t="s">
        <v>476</v>
      </c>
      <c r="AM13" s="623"/>
      <c r="AN13" s="623"/>
      <c r="AO13" s="623"/>
    </row>
    <row r="14" spans="1:41" s="30" customFormat="1" x14ac:dyDescent="0.25">
      <c r="A14" s="414">
        <v>1</v>
      </c>
      <c r="B14" s="414">
        <v>2</v>
      </c>
      <c r="C14" s="414">
        <v>3</v>
      </c>
      <c r="D14" s="414">
        <v>4</v>
      </c>
      <c r="E14" s="414">
        <v>5</v>
      </c>
      <c r="F14" s="414">
        <v>6</v>
      </c>
      <c r="G14" s="414">
        <v>7</v>
      </c>
      <c r="H14" s="414">
        <v>8</v>
      </c>
      <c r="I14" s="414">
        <v>9</v>
      </c>
      <c r="J14" s="96">
        <v>10</v>
      </c>
      <c r="K14" s="414">
        <v>11</v>
      </c>
      <c r="L14" s="414">
        <v>12</v>
      </c>
      <c r="M14" s="414">
        <v>13</v>
      </c>
      <c r="N14" s="414">
        <v>14</v>
      </c>
      <c r="O14" s="414">
        <v>15</v>
      </c>
      <c r="P14" s="36" t="s">
        <v>98</v>
      </c>
      <c r="Q14" s="36" t="s">
        <v>99</v>
      </c>
      <c r="R14" s="36" t="s">
        <v>100</v>
      </c>
      <c r="S14" s="36" t="s">
        <v>101</v>
      </c>
      <c r="T14" s="37">
        <v>17</v>
      </c>
      <c r="U14" s="414">
        <v>18</v>
      </c>
      <c r="V14" s="414">
        <v>19</v>
      </c>
      <c r="W14" s="414">
        <v>20</v>
      </c>
      <c r="X14" s="414">
        <v>21</v>
      </c>
      <c r="Y14" s="36" t="s">
        <v>102</v>
      </c>
      <c r="Z14" s="36" t="s">
        <v>103</v>
      </c>
      <c r="AA14" s="36" t="s">
        <v>104</v>
      </c>
      <c r="AB14" s="36" t="s">
        <v>105</v>
      </c>
      <c r="AC14" s="36" t="s">
        <v>106</v>
      </c>
      <c r="AD14" s="36" t="s">
        <v>107</v>
      </c>
      <c r="AE14" s="36" t="s">
        <v>108</v>
      </c>
      <c r="AF14" s="36" t="s">
        <v>109</v>
      </c>
      <c r="AG14" s="36" t="s">
        <v>110</v>
      </c>
      <c r="AH14" s="36" t="s">
        <v>111</v>
      </c>
      <c r="AI14" s="36" t="s">
        <v>112</v>
      </c>
      <c r="AJ14" s="36" t="s">
        <v>113</v>
      </c>
      <c r="AK14" s="36" t="s">
        <v>114</v>
      </c>
      <c r="AL14" s="36" t="s">
        <v>115</v>
      </c>
      <c r="AM14" s="36" t="s">
        <v>116</v>
      </c>
      <c r="AN14" s="36" t="s">
        <v>117</v>
      </c>
      <c r="AO14" s="36" t="s">
        <v>118</v>
      </c>
    </row>
    <row r="15" spans="1:41" s="120" customFormat="1" x14ac:dyDescent="0.25">
      <c r="A15" s="118" t="s">
        <v>31</v>
      </c>
      <c r="B15" s="38" t="s">
        <v>32</v>
      </c>
      <c r="C15" s="435" t="str">
        <f>Ф2!C15</f>
        <v>нд</v>
      </c>
      <c r="D15" s="435" t="str">
        <f>Ф2!D15</f>
        <v>нд</v>
      </c>
      <c r="E15" s="436" t="str">
        <f>Ф2!E15</f>
        <v>нд</v>
      </c>
      <c r="F15" s="436" t="str">
        <f>Ф2!F15</f>
        <v>нд</v>
      </c>
      <c r="G15" s="436" t="str">
        <f>Ф2!G15</f>
        <v>нд</v>
      </c>
      <c r="H15" s="456">
        <f>H16</f>
        <v>57.286725719444448</v>
      </c>
      <c r="I15" s="456">
        <f>I16</f>
        <v>65.820559494999998</v>
      </c>
      <c r="J15" s="456" t="str">
        <f t="shared" ref="J15:AO15" si="0">J16</f>
        <v>нд</v>
      </c>
      <c r="K15" s="456">
        <f t="shared" si="0"/>
        <v>65.496759438013697</v>
      </c>
      <c r="L15" s="456" t="str">
        <f t="shared" si="0"/>
        <v>нд</v>
      </c>
      <c r="M15" s="456">
        <f t="shared" si="0"/>
        <v>19.408803193346813</v>
      </c>
      <c r="N15" s="456">
        <f t="shared" si="0"/>
        <v>46.087956244666898</v>
      </c>
      <c r="O15" s="456" t="str">
        <f t="shared" si="0"/>
        <v>нд</v>
      </c>
      <c r="P15" s="456">
        <f t="shared" si="0"/>
        <v>72.523150042554064</v>
      </c>
      <c r="Q15" s="456" t="str">
        <f t="shared" si="0"/>
        <v>нд</v>
      </c>
      <c r="R15" s="456">
        <f t="shared" si="0"/>
        <v>15.661286567953251</v>
      </c>
      <c r="S15" s="456">
        <f t="shared" si="0"/>
        <v>56.86186347460081</v>
      </c>
      <c r="T15" s="456" t="str">
        <f t="shared" si="0"/>
        <v>нд</v>
      </c>
      <c r="U15" s="456" t="str">
        <f t="shared" si="0"/>
        <v>нд</v>
      </c>
      <c r="V15" s="456" t="str">
        <f t="shared" si="0"/>
        <v>нд</v>
      </c>
      <c r="W15" s="456" t="str">
        <f t="shared" si="0"/>
        <v>нд</v>
      </c>
      <c r="X15" s="456" t="str">
        <f t="shared" si="0"/>
        <v>нд</v>
      </c>
      <c r="Y15" s="456" t="str">
        <f t="shared" si="0"/>
        <v>нд</v>
      </c>
      <c r="Z15" s="456" t="str">
        <f t="shared" si="0"/>
        <v>нд</v>
      </c>
      <c r="AA15" s="456" t="str">
        <f t="shared" si="0"/>
        <v>нд</v>
      </c>
      <c r="AB15" s="456" t="str">
        <f t="shared" si="0"/>
        <v>нд</v>
      </c>
      <c r="AC15" s="456">
        <f t="shared" si="0"/>
        <v>8.0554510516666671</v>
      </c>
      <c r="AD15" s="456">
        <f t="shared" si="0"/>
        <v>8.0554510516666671</v>
      </c>
      <c r="AE15" s="456">
        <f t="shared" si="0"/>
        <v>12.714540676984999</v>
      </c>
      <c r="AF15" s="456">
        <f t="shared" si="0"/>
        <v>10.518329999999999</v>
      </c>
      <c r="AG15" s="456">
        <f t="shared" si="0"/>
        <v>11.646191959434644</v>
      </c>
      <c r="AH15" s="456">
        <f t="shared" si="0"/>
        <v>20.868793240960002</v>
      </c>
      <c r="AI15" s="456">
        <f t="shared" si="0"/>
        <v>17.384887256056416</v>
      </c>
      <c r="AJ15" s="456">
        <f t="shared" si="0"/>
        <v>17.384887256056416</v>
      </c>
      <c r="AK15" s="456">
        <f t="shared" si="0"/>
        <v>15.695688493870982</v>
      </c>
      <c r="AL15" s="456">
        <f t="shared" si="0"/>
        <v>15.695688493870982</v>
      </c>
      <c r="AM15" s="456">
        <f t="shared" si="0"/>
        <v>65.496759438013697</v>
      </c>
      <c r="AN15" s="456">
        <f t="shared" si="0"/>
        <v>72.523150042554064</v>
      </c>
      <c r="AO15" s="437" t="str">
        <f t="shared" si="0"/>
        <v>нд</v>
      </c>
    </row>
    <row r="16" spans="1:41" s="123" customFormat="1" x14ac:dyDescent="0.25">
      <c r="A16" s="121" t="s">
        <v>55</v>
      </c>
      <c r="B16" s="9" t="s">
        <v>34</v>
      </c>
      <c r="C16" s="438" t="str">
        <f>Ф2!C16</f>
        <v>нд</v>
      </c>
      <c r="D16" s="438" t="str">
        <f>Ф2!D16</f>
        <v>нд</v>
      </c>
      <c r="E16" s="439" t="str">
        <f>Ф2!E16</f>
        <v>нд</v>
      </c>
      <c r="F16" s="439" t="str">
        <f>Ф2!F16</f>
        <v>нд</v>
      </c>
      <c r="G16" s="439" t="str">
        <f>Ф2!G16</f>
        <v>нд</v>
      </c>
      <c r="H16" s="477">
        <f>H17+H38</f>
        <v>57.286725719444448</v>
      </c>
      <c r="I16" s="477">
        <f>I17+I38</f>
        <v>65.820559494999998</v>
      </c>
      <c r="J16" s="477" t="str">
        <f>J17</f>
        <v>нд</v>
      </c>
      <c r="K16" s="477">
        <f>K17+K38</f>
        <v>65.496759438013697</v>
      </c>
      <c r="L16" s="477" t="str">
        <f>L17</f>
        <v>нд</v>
      </c>
      <c r="M16" s="477">
        <f>M17</f>
        <v>19.408803193346813</v>
      </c>
      <c r="N16" s="477">
        <f>N17+N38</f>
        <v>46.087956244666898</v>
      </c>
      <c r="O16" s="477" t="s">
        <v>33</v>
      </c>
      <c r="P16" s="477">
        <f>P17+P38</f>
        <v>72.523150042554064</v>
      </c>
      <c r="Q16" s="477" t="str">
        <f t="shared" ref="Q16:AB16" si="1">Q17</f>
        <v>нд</v>
      </c>
      <c r="R16" s="477">
        <f t="shared" ref="R16:S16" si="2">R17+R38</f>
        <v>15.661286567953251</v>
      </c>
      <c r="S16" s="477">
        <f t="shared" si="2"/>
        <v>56.86186347460081</v>
      </c>
      <c r="T16" s="477" t="str">
        <f t="shared" si="1"/>
        <v>нд</v>
      </c>
      <c r="U16" s="477" t="str">
        <f t="shared" si="1"/>
        <v>нд</v>
      </c>
      <c r="V16" s="477" t="str">
        <f t="shared" si="1"/>
        <v>нд</v>
      </c>
      <c r="W16" s="477" t="str">
        <f t="shared" si="1"/>
        <v>нд</v>
      </c>
      <c r="X16" s="477" t="str">
        <f t="shared" si="1"/>
        <v>нд</v>
      </c>
      <c r="Y16" s="477" t="str">
        <f t="shared" si="1"/>
        <v>нд</v>
      </c>
      <c r="Z16" s="477" t="str">
        <f t="shared" si="1"/>
        <v>нд</v>
      </c>
      <c r="AA16" s="477" t="str">
        <f t="shared" si="1"/>
        <v>нд</v>
      </c>
      <c r="AB16" s="477" t="str">
        <f t="shared" si="1"/>
        <v>нд</v>
      </c>
      <c r="AC16" s="477">
        <f>AC17</f>
        <v>8.0554510516666671</v>
      </c>
      <c r="AD16" s="477">
        <f>AD17</f>
        <v>8.0554510516666671</v>
      </c>
      <c r="AE16" s="477">
        <f>AE17</f>
        <v>12.714540676984999</v>
      </c>
      <c r="AF16" s="477">
        <f>AF17</f>
        <v>10.518329999999999</v>
      </c>
      <c r="AG16" s="477">
        <f t="shared" ref="AG16" si="3">AG17+AG38</f>
        <v>11.646191959434644</v>
      </c>
      <c r="AH16" s="477">
        <f t="shared" ref="AH16:AJ16" si="4">AH17+AH38</f>
        <v>20.868793240960002</v>
      </c>
      <c r="AI16" s="477">
        <f>AI17+AI38</f>
        <v>17.384887256056416</v>
      </c>
      <c r="AJ16" s="477">
        <f t="shared" si="4"/>
        <v>17.384887256056416</v>
      </c>
      <c r="AK16" s="477">
        <f>AK17</f>
        <v>15.695688493870982</v>
      </c>
      <c r="AL16" s="477">
        <f>AL17</f>
        <v>15.695688493870982</v>
      </c>
      <c r="AM16" s="477">
        <f t="shared" ref="AM16:AN16" si="5">AM17+AM38</f>
        <v>65.496759438013697</v>
      </c>
      <c r="AN16" s="477">
        <f t="shared" si="5"/>
        <v>72.523150042554064</v>
      </c>
      <c r="AO16" s="440" t="str">
        <f>AO17</f>
        <v>нд</v>
      </c>
    </row>
    <row r="17" spans="1:41" s="120" customFormat="1" ht="31.5" x14ac:dyDescent="0.25">
      <c r="A17" s="118" t="s">
        <v>36</v>
      </c>
      <c r="B17" s="38" t="s">
        <v>37</v>
      </c>
      <c r="C17" s="435" t="str">
        <f>Ф2!C17</f>
        <v>нд</v>
      </c>
      <c r="D17" s="435" t="str">
        <f>Ф2!D17</f>
        <v>нд</v>
      </c>
      <c r="E17" s="435" t="str">
        <f>Ф2!E17</f>
        <v>нд</v>
      </c>
      <c r="F17" s="441" t="s">
        <v>33</v>
      </c>
      <c r="G17" s="436" t="s">
        <v>33</v>
      </c>
      <c r="H17" s="456">
        <f>H18+H23+H30</f>
        <v>47.538322941666664</v>
      </c>
      <c r="I17" s="456">
        <f>I18+I23+I30</f>
        <v>52.674792828333338</v>
      </c>
      <c r="J17" s="456" t="str">
        <f t="shared" ref="J17:J19" si="6">J18</f>
        <v>нд</v>
      </c>
      <c r="K17" s="456">
        <f>K18+K23+K30</f>
        <v>54.270423646779093</v>
      </c>
      <c r="L17" s="456" t="str">
        <f>L18</f>
        <v>нд</v>
      </c>
      <c r="M17" s="456">
        <f>M18+M23+M30</f>
        <v>19.408803193346813</v>
      </c>
      <c r="N17" s="456">
        <f>N18+N23+N30</f>
        <v>34.861620453432288</v>
      </c>
      <c r="O17" s="456" t="str">
        <f>O18</f>
        <v>нд</v>
      </c>
      <c r="P17" s="456">
        <f>P18+P23+P30</f>
        <v>58.238862141901542</v>
      </c>
      <c r="Q17" s="456" t="str">
        <f t="shared" ref="Q17:T19" si="7">Q18</f>
        <v>нд</v>
      </c>
      <c r="R17" s="456">
        <f t="shared" ref="R17:S17" si="8">R18+R23+R30</f>
        <v>15.661286567953251</v>
      </c>
      <c r="S17" s="456">
        <f t="shared" si="8"/>
        <v>42.57757557394828</v>
      </c>
      <c r="T17" s="456" t="str">
        <f t="shared" si="7"/>
        <v>нд</v>
      </c>
      <c r="U17" s="456" t="str">
        <f t="shared" ref="U17:U19" si="9">U18</f>
        <v>нд</v>
      </c>
      <c r="V17" s="456" t="str">
        <f t="shared" ref="V17:V19" si="10">V18</f>
        <v>нд</v>
      </c>
      <c r="W17" s="456" t="str">
        <f t="shared" ref="W17:W19" si="11">W18</f>
        <v>нд</v>
      </c>
      <c r="X17" s="456" t="str">
        <f t="shared" ref="X17:X19" si="12">X18</f>
        <v>нд</v>
      </c>
      <c r="Y17" s="456" t="str">
        <f t="shared" ref="Y17:Y19" si="13">Y18</f>
        <v>нд</v>
      </c>
      <c r="Z17" s="456" t="str">
        <f t="shared" ref="Z17:Z19" si="14">Z18</f>
        <v>нд</v>
      </c>
      <c r="AA17" s="456" t="str">
        <f t="shared" ref="AA17:AA19" si="15">AA18</f>
        <v>нд</v>
      </c>
      <c r="AB17" s="456" t="str">
        <f t="shared" ref="AB17:AB19" si="16">AB18</f>
        <v>нд</v>
      </c>
      <c r="AC17" s="456">
        <f>AC30</f>
        <v>8.0554510516666671</v>
      </c>
      <c r="AD17" s="456">
        <f>AD30</f>
        <v>8.0554510516666671</v>
      </c>
      <c r="AE17" s="456">
        <f>AE23+AE30</f>
        <v>12.714540676984999</v>
      </c>
      <c r="AF17" s="456">
        <f>AF18+AF23</f>
        <v>10.518329999999999</v>
      </c>
      <c r="AG17" s="456">
        <f>AG23+AG30</f>
        <v>5.4302052688525597</v>
      </c>
      <c r="AH17" s="456">
        <f>AH23+AH30</f>
        <v>11.594854440960001</v>
      </c>
      <c r="AI17" s="456">
        <f>AI18+AI23+AI30</f>
        <v>12.37453815540389</v>
      </c>
      <c r="AJ17" s="456">
        <f>AJ18+AJ23+AJ30</f>
        <v>12.37453815540389</v>
      </c>
      <c r="AK17" s="456">
        <f>AK18+AK30</f>
        <v>15.695688493870982</v>
      </c>
      <c r="AL17" s="456">
        <f>AL18+AL30</f>
        <v>15.695688493870982</v>
      </c>
      <c r="AM17" s="456">
        <f t="shared" ref="AM17:AN17" si="17">AM18+AM23+AM30</f>
        <v>54.270423646779093</v>
      </c>
      <c r="AN17" s="456">
        <f t="shared" si="17"/>
        <v>58.238862141901542</v>
      </c>
      <c r="AO17" s="437" t="s">
        <v>33</v>
      </c>
    </row>
    <row r="18" spans="1:41" s="126" customFormat="1" ht="47.25" x14ac:dyDescent="0.25">
      <c r="A18" s="124" t="s">
        <v>53</v>
      </c>
      <c r="B18" s="39" t="s">
        <v>54</v>
      </c>
      <c r="C18" s="442" t="str">
        <f>Ф2!C18</f>
        <v>нд</v>
      </c>
      <c r="D18" s="442" t="str">
        <f>Ф2!D18</f>
        <v>нд</v>
      </c>
      <c r="E18" s="442" t="str">
        <f>Ф2!E18</f>
        <v>нд</v>
      </c>
      <c r="F18" s="442" t="str">
        <f>Ф2!F18</f>
        <v>нд</v>
      </c>
      <c r="G18" s="442" t="str">
        <f>Ф2!G18</f>
        <v>нд</v>
      </c>
      <c r="H18" s="478">
        <f>H19</f>
        <v>13.862661275000001</v>
      </c>
      <c r="I18" s="478">
        <f>I19</f>
        <v>19.013975805000001</v>
      </c>
      <c r="J18" s="478" t="str">
        <f t="shared" si="6"/>
        <v>нд</v>
      </c>
      <c r="K18" s="478">
        <f t="shared" ref="K18:AN18" si="18">K19</f>
        <v>16.747516856458226</v>
      </c>
      <c r="L18" s="478" t="str">
        <f>L19</f>
        <v>нд</v>
      </c>
      <c r="M18" s="478">
        <f t="shared" si="18"/>
        <v>3.8279027046192491</v>
      </c>
      <c r="N18" s="478">
        <f t="shared" si="18"/>
        <v>12.919614151838976</v>
      </c>
      <c r="O18" s="478" t="str">
        <f>O19</f>
        <v>нд</v>
      </c>
      <c r="P18" s="478">
        <f t="shared" si="18"/>
        <v>21.898831386458227</v>
      </c>
      <c r="Q18" s="478" t="str">
        <f t="shared" si="7"/>
        <v>нд</v>
      </c>
      <c r="R18" s="478">
        <f t="shared" si="18"/>
        <v>4.6790552346192484</v>
      </c>
      <c r="S18" s="478">
        <f t="shared" si="18"/>
        <v>17.219776151838975</v>
      </c>
      <c r="T18" s="478" t="str">
        <f t="shared" si="7"/>
        <v>нд</v>
      </c>
      <c r="U18" s="478" t="str">
        <f t="shared" si="9"/>
        <v>нд</v>
      </c>
      <c r="V18" s="478" t="str">
        <f t="shared" si="10"/>
        <v>нд</v>
      </c>
      <c r="W18" s="478" t="str">
        <f t="shared" si="11"/>
        <v>нд</v>
      </c>
      <c r="X18" s="478" t="str">
        <f t="shared" si="12"/>
        <v>нд</v>
      </c>
      <c r="Y18" s="478" t="str">
        <f t="shared" si="13"/>
        <v>нд</v>
      </c>
      <c r="Z18" s="478" t="str">
        <f t="shared" si="14"/>
        <v>нд</v>
      </c>
      <c r="AA18" s="478" t="str">
        <f t="shared" si="15"/>
        <v>нд</v>
      </c>
      <c r="AB18" s="478" t="str">
        <f t="shared" si="16"/>
        <v>нд</v>
      </c>
      <c r="AC18" s="478" t="str">
        <f t="shared" ref="AC18:AC19" si="19">AC19</f>
        <v>нд</v>
      </c>
      <c r="AD18" s="478" t="str">
        <f t="shared" ref="AD18:AE19" si="20">AD19</f>
        <v>нд</v>
      </c>
      <c r="AE18" s="478" t="str">
        <f t="shared" si="20"/>
        <v>нд</v>
      </c>
      <c r="AF18" s="478">
        <f t="shared" ref="AF18" si="21">AF19</f>
        <v>5.1513145299999996</v>
      </c>
      <c r="AG18" s="478" t="str">
        <f t="shared" ref="AG18:AG19" si="22">AG19</f>
        <v>нд</v>
      </c>
      <c r="AH18" s="478" t="str">
        <f t="shared" ref="AH18:AJ19" si="23">AH19</f>
        <v>нд</v>
      </c>
      <c r="AI18" s="478">
        <f t="shared" si="18"/>
        <v>6.0644829059401966</v>
      </c>
      <c r="AJ18" s="478">
        <f t="shared" si="23"/>
        <v>6.0644829059401966</v>
      </c>
      <c r="AK18" s="478">
        <f t="shared" si="18"/>
        <v>10.683033950518029</v>
      </c>
      <c r="AL18" s="478">
        <f t="shared" si="18"/>
        <v>10.683033950518029</v>
      </c>
      <c r="AM18" s="478">
        <f t="shared" si="18"/>
        <v>16.747516856458226</v>
      </c>
      <c r="AN18" s="478">
        <f t="shared" si="18"/>
        <v>21.898831386458227</v>
      </c>
      <c r="AO18" s="443" t="s">
        <v>33</v>
      </c>
    </row>
    <row r="19" spans="1:41" s="431" customFormat="1" ht="17.25" customHeight="1" x14ac:dyDescent="0.25">
      <c r="A19" s="127" t="s">
        <v>38</v>
      </c>
      <c r="B19" s="10" t="s">
        <v>39</v>
      </c>
      <c r="C19" s="444" t="str">
        <f>Ф2!C19</f>
        <v>нд</v>
      </c>
      <c r="D19" s="444" t="str">
        <f>Ф2!D19</f>
        <v>нд</v>
      </c>
      <c r="E19" s="444" t="str">
        <f>Ф2!E19</f>
        <v>нд</v>
      </c>
      <c r="F19" s="444" t="str">
        <f>Ф2!F19</f>
        <v>нд</v>
      </c>
      <c r="G19" s="444" t="str">
        <f>Ф2!G19</f>
        <v>нд</v>
      </c>
      <c r="H19" s="450">
        <f>SUM(H20:H22)</f>
        <v>13.862661275000001</v>
      </c>
      <c r="I19" s="450">
        <f>SUM(I20:I22)</f>
        <v>19.013975805000001</v>
      </c>
      <c r="J19" s="450" t="str">
        <f t="shared" si="6"/>
        <v>нд</v>
      </c>
      <c r="K19" s="450">
        <f t="shared" ref="K19:AM19" si="24">SUM(K20:K22)</f>
        <v>16.747516856458226</v>
      </c>
      <c r="L19" s="450" t="str">
        <f>L20</f>
        <v>нд</v>
      </c>
      <c r="M19" s="450">
        <f t="shared" si="24"/>
        <v>3.8279027046192491</v>
      </c>
      <c r="N19" s="450">
        <f t="shared" si="24"/>
        <v>12.919614151838976</v>
      </c>
      <c r="O19" s="450" t="str">
        <f>O20</f>
        <v>нд</v>
      </c>
      <c r="P19" s="450">
        <f t="shared" si="24"/>
        <v>21.898831386458227</v>
      </c>
      <c r="Q19" s="450" t="str">
        <f t="shared" si="7"/>
        <v>нд</v>
      </c>
      <c r="R19" s="450">
        <f t="shared" ref="R19:S19" si="25">SUM(R20:R22)</f>
        <v>4.6790552346192484</v>
      </c>
      <c r="S19" s="450">
        <f t="shared" si="25"/>
        <v>17.219776151838975</v>
      </c>
      <c r="T19" s="450" t="str">
        <f t="shared" si="7"/>
        <v>нд</v>
      </c>
      <c r="U19" s="450" t="str">
        <f t="shared" si="9"/>
        <v>нд</v>
      </c>
      <c r="V19" s="450" t="str">
        <f t="shared" si="10"/>
        <v>нд</v>
      </c>
      <c r="W19" s="450" t="str">
        <f t="shared" si="11"/>
        <v>нд</v>
      </c>
      <c r="X19" s="450" t="str">
        <f t="shared" si="12"/>
        <v>нд</v>
      </c>
      <c r="Y19" s="450" t="str">
        <f t="shared" si="13"/>
        <v>нд</v>
      </c>
      <c r="Z19" s="450" t="str">
        <f t="shared" si="14"/>
        <v>нд</v>
      </c>
      <c r="AA19" s="450" t="str">
        <f t="shared" si="15"/>
        <v>нд</v>
      </c>
      <c r="AB19" s="450" t="str">
        <f t="shared" si="16"/>
        <v>нд</v>
      </c>
      <c r="AC19" s="450" t="str">
        <f t="shared" si="19"/>
        <v>нд</v>
      </c>
      <c r="AD19" s="450" t="str">
        <f t="shared" si="20"/>
        <v>нд</v>
      </c>
      <c r="AE19" s="450" t="str">
        <f t="shared" si="20"/>
        <v>нд</v>
      </c>
      <c r="AF19" s="450">
        <f t="shared" ref="AF19" si="26">SUM(AF20:AF22)</f>
        <v>5.1513145299999996</v>
      </c>
      <c r="AG19" s="450" t="str">
        <f t="shared" si="22"/>
        <v>нд</v>
      </c>
      <c r="AH19" s="450" t="str">
        <f t="shared" si="23"/>
        <v>нд</v>
      </c>
      <c r="AI19" s="450">
        <f t="shared" ref="AI19:AK19" si="27">SUM(AI20:AI22)</f>
        <v>6.0644829059401966</v>
      </c>
      <c r="AJ19" s="450">
        <f t="shared" si="27"/>
        <v>6.0644829059401966</v>
      </c>
      <c r="AK19" s="450">
        <f t="shared" si="27"/>
        <v>10.683033950518029</v>
      </c>
      <c r="AL19" s="450">
        <f t="shared" ref="AL19" si="28">SUM(AL20:AL22)</f>
        <v>10.683033950518029</v>
      </c>
      <c r="AM19" s="450">
        <f t="shared" si="24"/>
        <v>16.747516856458226</v>
      </c>
      <c r="AN19" s="450">
        <f t="shared" ref="AN19" si="29">SUM(AN20:AN22)</f>
        <v>21.898831386458227</v>
      </c>
      <c r="AO19" s="445" t="s">
        <v>33</v>
      </c>
    </row>
    <row r="20" spans="1:41" s="432" customFormat="1" ht="32.25" customHeight="1" x14ac:dyDescent="0.25">
      <c r="A20" s="13" t="s">
        <v>40</v>
      </c>
      <c r="B20" s="375" t="s">
        <v>1330</v>
      </c>
      <c r="C20" s="201" t="s">
        <v>1348</v>
      </c>
      <c r="D20" s="446" t="str">
        <f>Ф2!D20</f>
        <v>П</v>
      </c>
      <c r="E20" s="409">
        <f>Ф2!E20</f>
        <v>2023</v>
      </c>
      <c r="F20" s="409">
        <f>Ф2!F20</f>
        <v>2023</v>
      </c>
      <c r="G20" s="447">
        <f>Ф2!G20</f>
        <v>2023</v>
      </c>
      <c r="H20" s="448">
        <f>Ф2!H20/1.2</f>
        <v>0</v>
      </c>
      <c r="I20" s="448">
        <f>Ф2!K20/1.2</f>
        <v>5.1513145299999996</v>
      </c>
      <c r="J20" s="448" t="s">
        <v>33</v>
      </c>
      <c r="K20" s="448" t="s">
        <v>33</v>
      </c>
      <c r="L20" s="448" t="s">
        <v>33</v>
      </c>
      <c r="M20" s="448" t="s">
        <v>33</v>
      </c>
      <c r="N20" s="448" t="s">
        <v>33</v>
      </c>
      <c r="O20" s="448" t="s">
        <v>33</v>
      </c>
      <c r="P20" s="448">
        <f>Ф2!S20/1.2</f>
        <v>5.1513145299999996</v>
      </c>
      <c r="Q20" s="448" t="s">
        <v>33</v>
      </c>
      <c r="R20" s="479">
        <f>P20-S20</f>
        <v>0.85115252999999935</v>
      </c>
      <c r="S20" s="479">
        <v>4.3001620000000003</v>
      </c>
      <c r="T20" s="448" t="s">
        <v>33</v>
      </c>
      <c r="U20" s="448" t="s">
        <v>33</v>
      </c>
      <c r="V20" s="448" t="s">
        <v>33</v>
      </c>
      <c r="W20" s="448" t="s">
        <v>33</v>
      </c>
      <c r="X20" s="448" t="s">
        <v>33</v>
      </c>
      <c r="Y20" s="448" t="s">
        <v>33</v>
      </c>
      <c r="Z20" s="448" t="s">
        <v>33</v>
      </c>
      <c r="AA20" s="448" t="s">
        <v>33</v>
      </c>
      <c r="AB20" s="448" t="s">
        <v>33</v>
      </c>
      <c r="AC20" s="448" t="s">
        <v>33</v>
      </c>
      <c r="AD20" s="448" t="s">
        <v>33</v>
      </c>
      <c r="AE20" s="448" t="s">
        <v>33</v>
      </c>
      <c r="AF20" s="448">
        <f>P20</f>
        <v>5.1513145299999996</v>
      </c>
      <c r="AG20" s="448" t="s">
        <v>33</v>
      </c>
      <c r="AH20" s="448" t="s">
        <v>33</v>
      </c>
      <c r="AI20" s="448" t="s">
        <v>33</v>
      </c>
      <c r="AJ20" s="448" t="s">
        <v>33</v>
      </c>
      <c r="AK20" s="448" t="s">
        <v>33</v>
      </c>
      <c r="AL20" s="448" t="s">
        <v>33</v>
      </c>
      <c r="AM20" s="448" t="str">
        <f t="shared" ref="AM20:AM22" si="30">K20</f>
        <v>нд</v>
      </c>
      <c r="AN20" s="448">
        <f>P20</f>
        <v>5.1513145299999996</v>
      </c>
      <c r="AO20" s="449" t="s">
        <v>478</v>
      </c>
    </row>
    <row r="21" spans="1:41" s="433" customFormat="1" ht="32.25" customHeight="1" x14ac:dyDescent="0.25">
      <c r="A21" s="13" t="s">
        <v>465</v>
      </c>
      <c r="B21" s="237" t="s">
        <v>648</v>
      </c>
      <c r="C21" s="201" t="s">
        <v>637</v>
      </c>
      <c r="D21" s="446" t="str">
        <f>Ф2!D21</f>
        <v>П</v>
      </c>
      <c r="E21" s="409">
        <f>Ф2!E21</f>
        <v>2025</v>
      </c>
      <c r="F21" s="409">
        <f>Ф2!F21</f>
        <v>2025</v>
      </c>
      <c r="G21" s="447" t="str">
        <f>Ф2!G21</f>
        <v>нд</v>
      </c>
      <c r="H21" s="448">
        <f>Ф2!H21/1.2</f>
        <v>5.1492062750000001</v>
      </c>
      <c r="I21" s="448">
        <f>Ф2!I21/1.2</f>
        <v>5.1492062750000001</v>
      </c>
      <c r="J21" s="448" t="s">
        <v>33</v>
      </c>
      <c r="K21" s="448">
        <v>6.0644829059401966</v>
      </c>
      <c r="L21" s="448" t="s">
        <v>33</v>
      </c>
      <c r="M21" s="448">
        <v>0.76224784592742623</v>
      </c>
      <c r="N21" s="448">
        <v>5.3022350600127703</v>
      </c>
      <c r="O21" s="448" t="s">
        <v>33</v>
      </c>
      <c r="P21" s="448">
        <f>Ф2!S21/1.2</f>
        <v>6.0644829059401966</v>
      </c>
      <c r="Q21" s="448" t="s">
        <v>33</v>
      </c>
      <c r="R21" s="448">
        <f>M21</f>
        <v>0.76224784592742623</v>
      </c>
      <c r="S21" s="448">
        <f>N21</f>
        <v>5.3022350600127703</v>
      </c>
      <c r="T21" s="448" t="s">
        <v>33</v>
      </c>
      <c r="U21" s="448" t="s">
        <v>33</v>
      </c>
      <c r="V21" s="448" t="s">
        <v>33</v>
      </c>
      <c r="W21" s="448" t="s">
        <v>33</v>
      </c>
      <c r="X21" s="448" t="s">
        <v>33</v>
      </c>
      <c r="Y21" s="448" t="s">
        <v>33</v>
      </c>
      <c r="Z21" s="448" t="s">
        <v>33</v>
      </c>
      <c r="AA21" s="448" t="s">
        <v>33</v>
      </c>
      <c r="AB21" s="448" t="s">
        <v>33</v>
      </c>
      <c r="AC21" s="448" t="s">
        <v>33</v>
      </c>
      <c r="AD21" s="448" t="s">
        <v>33</v>
      </c>
      <c r="AE21" s="448" t="s">
        <v>33</v>
      </c>
      <c r="AF21" s="448" t="s">
        <v>33</v>
      </c>
      <c r="AG21" s="448" t="s">
        <v>33</v>
      </c>
      <c r="AH21" s="448" t="s">
        <v>33</v>
      </c>
      <c r="AI21" s="448">
        <f t="shared" ref="AI21" si="31">IF(F21=2025,K21,0)</f>
        <v>6.0644829059401966</v>
      </c>
      <c r="AJ21" s="448">
        <f>P21</f>
        <v>6.0644829059401966</v>
      </c>
      <c r="AK21" s="448" t="s">
        <v>33</v>
      </c>
      <c r="AL21" s="448" t="s">
        <v>33</v>
      </c>
      <c r="AM21" s="448">
        <f t="shared" si="30"/>
        <v>6.0644829059401966</v>
      </c>
      <c r="AN21" s="448">
        <f t="shared" ref="AN21:AN22" si="32">P21</f>
        <v>6.0644829059401966</v>
      </c>
      <c r="AO21" s="452" t="s">
        <v>666</v>
      </c>
    </row>
    <row r="22" spans="1:41" s="433" customFormat="1" ht="32.25" customHeight="1" x14ac:dyDescent="0.25">
      <c r="A22" s="13" t="s">
        <v>615</v>
      </c>
      <c r="B22" s="237" t="s">
        <v>649</v>
      </c>
      <c r="C22" s="201" t="s">
        <v>638</v>
      </c>
      <c r="D22" s="446" t="s">
        <v>97</v>
      </c>
      <c r="E22" s="409">
        <f>Ф2!E22</f>
        <v>2026</v>
      </c>
      <c r="F22" s="409">
        <f>Ф2!F22</f>
        <v>2026</v>
      </c>
      <c r="G22" s="409" t="s">
        <v>33</v>
      </c>
      <c r="H22" s="448">
        <f>Ф2!H22/1.2</f>
        <v>8.7134550000000015</v>
      </c>
      <c r="I22" s="448">
        <f>Ф2!I22/1.2</f>
        <v>8.7134550000000015</v>
      </c>
      <c r="J22" s="448" t="s">
        <v>33</v>
      </c>
      <c r="K22" s="448">
        <v>10.683033950518029</v>
      </c>
      <c r="L22" s="448" t="s">
        <v>33</v>
      </c>
      <c r="M22" s="448">
        <v>3.0656548586918229</v>
      </c>
      <c r="N22" s="448">
        <v>7.6173790918262059</v>
      </c>
      <c r="O22" s="448" t="s">
        <v>33</v>
      </c>
      <c r="P22" s="448">
        <f>Ф2!S22/1.2</f>
        <v>10.683033950518029</v>
      </c>
      <c r="Q22" s="448" t="s">
        <v>33</v>
      </c>
      <c r="R22" s="448">
        <f>M22</f>
        <v>3.0656548586918229</v>
      </c>
      <c r="S22" s="448">
        <f>N22</f>
        <v>7.6173790918262059</v>
      </c>
      <c r="T22" s="448" t="s">
        <v>33</v>
      </c>
      <c r="U22" s="448" t="s">
        <v>33</v>
      </c>
      <c r="V22" s="448" t="s">
        <v>33</v>
      </c>
      <c r="W22" s="448" t="s">
        <v>33</v>
      </c>
      <c r="X22" s="448" t="s">
        <v>33</v>
      </c>
      <c r="Y22" s="448" t="s">
        <v>33</v>
      </c>
      <c r="Z22" s="448" t="s">
        <v>33</v>
      </c>
      <c r="AA22" s="448" t="s">
        <v>33</v>
      </c>
      <c r="AB22" s="448" t="s">
        <v>33</v>
      </c>
      <c r="AC22" s="448" t="s">
        <v>33</v>
      </c>
      <c r="AD22" s="448" t="s">
        <v>33</v>
      </c>
      <c r="AE22" s="448" t="s">
        <v>33</v>
      </c>
      <c r="AF22" s="448" t="s">
        <v>33</v>
      </c>
      <c r="AG22" s="448" t="s">
        <v>33</v>
      </c>
      <c r="AH22" s="448" t="s">
        <v>33</v>
      </c>
      <c r="AI22" s="448" t="s">
        <v>33</v>
      </c>
      <c r="AJ22" s="448" t="s">
        <v>33</v>
      </c>
      <c r="AK22" s="448">
        <f t="shared" ref="AK22" si="33">IF(F22=2026,K22,0)</f>
        <v>10.683033950518029</v>
      </c>
      <c r="AL22" s="448">
        <f>P22</f>
        <v>10.683033950518029</v>
      </c>
      <c r="AM22" s="448">
        <f t="shared" si="30"/>
        <v>10.683033950518029</v>
      </c>
      <c r="AN22" s="448">
        <f t="shared" si="32"/>
        <v>10.683033950518029</v>
      </c>
      <c r="AO22" s="449" t="s">
        <v>478</v>
      </c>
    </row>
    <row r="23" spans="1:41" s="126" customFormat="1" ht="31.5" x14ac:dyDescent="0.25">
      <c r="A23" s="124" t="s">
        <v>41</v>
      </c>
      <c r="B23" s="39" t="s">
        <v>42</v>
      </c>
      <c r="C23" s="442" t="str">
        <f>Ф2!C23</f>
        <v>нд</v>
      </c>
      <c r="D23" s="442" t="str">
        <f>Ф2!D23</f>
        <v>нд</v>
      </c>
      <c r="E23" s="442" t="str">
        <f>Ф2!E23</f>
        <v>нд</v>
      </c>
      <c r="F23" s="442" t="str">
        <f>Ф2!F23</f>
        <v>нд</v>
      </c>
      <c r="G23" s="442" t="str">
        <f>G24</f>
        <v>нд</v>
      </c>
      <c r="H23" s="478">
        <f>H24</f>
        <v>9.3183950000000006</v>
      </c>
      <c r="I23" s="478">
        <f>I24</f>
        <v>16.976413690000001</v>
      </c>
      <c r="J23" s="478" t="str">
        <f>J24</f>
        <v>нд</v>
      </c>
      <c r="K23" s="478">
        <f t="shared" ref="K23:AN23" si="34">K24</f>
        <v>10.333513230268107</v>
      </c>
      <c r="L23" s="478" t="str">
        <f>L24</f>
        <v>нд</v>
      </c>
      <c r="M23" s="478">
        <v>9.4137025059072972</v>
      </c>
      <c r="N23" s="478">
        <f t="shared" si="34"/>
        <v>0.91981072436080791</v>
      </c>
      <c r="O23" s="478" t="str">
        <f>O24</f>
        <v>нд</v>
      </c>
      <c r="P23" s="478">
        <f t="shared" si="34"/>
        <v>17.68159383234962</v>
      </c>
      <c r="Q23" s="478" t="str">
        <f t="shared" ref="Q23:U24" si="35">Q24</f>
        <v>нд</v>
      </c>
      <c r="R23" s="478">
        <f t="shared" si="34"/>
        <v>6.998529803988812</v>
      </c>
      <c r="S23" s="478">
        <f t="shared" si="34"/>
        <v>10.683064028360807</v>
      </c>
      <c r="T23" s="478" t="str">
        <f t="shared" si="35"/>
        <v>нд</v>
      </c>
      <c r="U23" s="478" t="str">
        <f t="shared" si="35"/>
        <v>нд</v>
      </c>
      <c r="V23" s="478" t="str">
        <f t="shared" ref="V23:V24" si="36">V24</f>
        <v>нд</v>
      </c>
      <c r="W23" s="478" t="str">
        <f t="shared" ref="W23:W24" si="37">W24</f>
        <v>нд</v>
      </c>
      <c r="X23" s="478" t="str">
        <f t="shared" ref="X23:X24" si="38">X24</f>
        <v>нд</v>
      </c>
      <c r="Y23" s="478" t="str">
        <f t="shared" ref="Y23:Y24" si="39">Y24</f>
        <v>нд</v>
      </c>
      <c r="Z23" s="478" t="str">
        <f t="shared" ref="Z23:Z24" si="40">Z24</f>
        <v>нд</v>
      </c>
      <c r="AA23" s="478" t="str">
        <f t="shared" ref="AA23:AA24" si="41">AA24</f>
        <v>нд</v>
      </c>
      <c r="AB23" s="478" t="str">
        <f t="shared" ref="AB23:AB24" si="42">AB24</f>
        <v>нд</v>
      </c>
      <c r="AC23" s="478" t="str">
        <f t="shared" ref="AC23:AC24" si="43">AC24</f>
        <v>нд</v>
      </c>
      <c r="AD23" s="478" t="str">
        <f t="shared" ref="AD23:AH24" si="44">AD24</f>
        <v>нд</v>
      </c>
      <c r="AE23" s="478">
        <f t="shared" si="34"/>
        <v>6.8267619266116659</v>
      </c>
      <c r="AF23" s="478">
        <f t="shared" si="44"/>
        <v>5.3670154700000001</v>
      </c>
      <c r="AG23" s="478">
        <f t="shared" si="34"/>
        <v>1.7064793822668198</v>
      </c>
      <c r="AH23" s="478">
        <f t="shared" si="44"/>
        <v>10.51430644096</v>
      </c>
      <c r="AI23" s="478">
        <f t="shared" si="34"/>
        <v>1.8002719213896201</v>
      </c>
      <c r="AJ23" s="478">
        <f t="shared" si="34"/>
        <v>1.8002719213896201</v>
      </c>
      <c r="AK23" s="478" t="str">
        <f t="shared" ref="AK23:AK24" si="45">AK24</f>
        <v>нд</v>
      </c>
      <c r="AL23" s="478" t="str">
        <f t="shared" ref="AL23:AL24" si="46">AL24</f>
        <v>нд</v>
      </c>
      <c r="AM23" s="478">
        <f t="shared" si="34"/>
        <v>10.333513230268107</v>
      </c>
      <c r="AN23" s="478">
        <f t="shared" si="34"/>
        <v>17.68159383234962</v>
      </c>
      <c r="AO23" s="442" t="s">
        <v>33</v>
      </c>
    </row>
    <row r="24" spans="1:41" s="431" customFormat="1" x14ac:dyDescent="0.25">
      <c r="A24" s="127" t="s">
        <v>49</v>
      </c>
      <c r="B24" s="10" t="s">
        <v>50</v>
      </c>
      <c r="C24" s="444" t="str">
        <f>Ф2!C24</f>
        <v>нд</v>
      </c>
      <c r="D24" s="444" t="str">
        <f>Ф2!D24</f>
        <v>нд</v>
      </c>
      <c r="E24" s="444" t="str">
        <f>Ф2!E24</f>
        <v>нд</v>
      </c>
      <c r="F24" s="444" t="str">
        <f>Ф2!F24</f>
        <v>нд</v>
      </c>
      <c r="G24" s="444" t="str">
        <f>Ф2!G24</f>
        <v>нд</v>
      </c>
      <c r="H24" s="450">
        <f>SUM(H25:H29)</f>
        <v>9.3183950000000006</v>
      </c>
      <c r="I24" s="450">
        <f>SUM(I25:I29)</f>
        <v>16.976413690000001</v>
      </c>
      <c r="J24" s="450" t="str">
        <f>J25</f>
        <v>нд</v>
      </c>
      <c r="K24" s="450">
        <f t="shared" ref="K24:AM24" si="47">SUM(K25:K29)</f>
        <v>10.333513230268107</v>
      </c>
      <c r="L24" s="450" t="str">
        <f>L25</f>
        <v>нд</v>
      </c>
      <c r="M24" s="450">
        <v>9.4137025059072972</v>
      </c>
      <c r="N24" s="450">
        <f t="shared" si="47"/>
        <v>0.91981072436080791</v>
      </c>
      <c r="O24" s="450" t="str">
        <f>O25</f>
        <v>нд</v>
      </c>
      <c r="P24" s="450">
        <f t="shared" ref="P24" si="48">SUM(P25:P29)</f>
        <v>17.68159383234962</v>
      </c>
      <c r="Q24" s="450" t="str">
        <f t="shared" si="35"/>
        <v>нд</v>
      </c>
      <c r="R24" s="450">
        <f t="shared" ref="R24:S24" si="49">SUM(R25:R29)</f>
        <v>6.998529803988812</v>
      </c>
      <c r="S24" s="450">
        <f t="shared" si="49"/>
        <v>10.683064028360807</v>
      </c>
      <c r="T24" s="450" t="str">
        <f t="shared" si="35"/>
        <v>нд</v>
      </c>
      <c r="U24" s="450" t="str">
        <f t="shared" si="35"/>
        <v>нд</v>
      </c>
      <c r="V24" s="450" t="str">
        <f t="shared" si="36"/>
        <v>нд</v>
      </c>
      <c r="W24" s="450" t="str">
        <f t="shared" si="37"/>
        <v>нд</v>
      </c>
      <c r="X24" s="450" t="str">
        <f t="shared" si="38"/>
        <v>нд</v>
      </c>
      <c r="Y24" s="450" t="str">
        <f t="shared" si="39"/>
        <v>нд</v>
      </c>
      <c r="Z24" s="450" t="str">
        <f t="shared" si="40"/>
        <v>нд</v>
      </c>
      <c r="AA24" s="450" t="str">
        <f t="shared" si="41"/>
        <v>нд</v>
      </c>
      <c r="AB24" s="450" t="str">
        <f t="shared" si="42"/>
        <v>нд</v>
      </c>
      <c r="AC24" s="450" t="str">
        <f t="shared" si="43"/>
        <v>нд</v>
      </c>
      <c r="AD24" s="450" t="str">
        <f t="shared" si="44"/>
        <v>нд</v>
      </c>
      <c r="AE24" s="450">
        <f t="shared" si="47"/>
        <v>6.8267619266116659</v>
      </c>
      <c r="AF24" s="450">
        <f t="shared" si="44"/>
        <v>5.3670154700000001</v>
      </c>
      <c r="AG24" s="450">
        <f t="shared" si="47"/>
        <v>1.7064793822668198</v>
      </c>
      <c r="AH24" s="450">
        <f t="shared" si="47"/>
        <v>10.51430644096</v>
      </c>
      <c r="AI24" s="450">
        <f t="shared" si="47"/>
        <v>1.8002719213896201</v>
      </c>
      <c r="AJ24" s="450">
        <f t="shared" ref="AJ24" si="50">SUM(AJ25:AJ29)</f>
        <v>1.8002719213896201</v>
      </c>
      <c r="AK24" s="450" t="str">
        <f t="shared" si="45"/>
        <v>нд</v>
      </c>
      <c r="AL24" s="450" t="str">
        <f t="shared" si="46"/>
        <v>нд</v>
      </c>
      <c r="AM24" s="450">
        <f t="shared" si="47"/>
        <v>10.333513230268107</v>
      </c>
      <c r="AN24" s="450">
        <f t="shared" ref="AN24" si="51">SUM(AN25:AN29)</f>
        <v>17.68159383234962</v>
      </c>
      <c r="AO24" s="444" t="s">
        <v>33</v>
      </c>
    </row>
    <row r="25" spans="1:41" s="432" customFormat="1" ht="67.5" customHeight="1" x14ac:dyDescent="0.25">
      <c r="A25" s="13" t="s">
        <v>51</v>
      </c>
      <c r="B25" s="236" t="s">
        <v>650</v>
      </c>
      <c r="C25" s="201" t="s">
        <v>1329</v>
      </c>
      <c r="D25" s="446" t="str">
        <f>Ф2!D25</f>
        <v>П</v>
      </c>
      <c r="E25" s="409">
        <f>Ф2!E25</f>
        <v>2023</v>
      </c>
      <c r="F25" s="409">
        <f>Ф2!F25</f>
        <v>2023</v>
      </c>
      <c r="G25" s="447">
        <f>Ф2!G25</f>
        <v>2023</v>
      </c>
      <c r="H25" s="448">
        <f>Ф2!H25/1.2</f>
        <v>6.2814908333333337</v>
      </c>
      <c r="I25" s="448">
        <f>Ф2!K25/1.2</f>
        <v>5.3670154700000001</v>
      </c>
      <c r="J25" s="479" t="s">
        <v>33</v>
      </c>
      <c r="K25" s="448">
        <f t="shared" ref="K25:K27" si="52">SUM(L25:O25)</f>
        <v>6.8267619266116659</v>
      </c>
      <c r="L25" s="479" t="s">
        <v>33</v>
      </c>
      <c r="M25" s="448">
        <v>5.9399282306116659</v>
      </c>
      <c r="N25" s="448">
        <f>0.816*Ф17!E15*Ф17!F15</f>
        <v>0.88683369599999995</v>
      </c>
      <c r="O25" s="479" t="s">
        <v>33</v>
      </c>
      <c r="P25" s="448">
        <f>Ф2!S25/1.2</f>
        <v>5.3670154700000001</v>
      </c>
      <c r="Q25" s="479" t="s">
        <v>33</v>
      </c>
      <c r="R25" s="479">
        <f>P25-S25</f>
        <v>1.1505104700000004</v>
      </c>
      <c r="S25" s="479">
        <v>4.2165049999999997</v>
      </c>
      <c r="T25" s="479" t="s">
        <v>33</v>
      </c>
      <c r="U25" s="479" t="s">
        <v>33</v>
      </c>
      <c r="V25" s="479" t="s">
        <v>33</v>
      </c>
      <c r="W25" s="479" t="s">
        <v>33</v>
      </c>
      <c r="X25" s="479" t="s">
        <v>33</v>
      </c>
      <c r="Y25" s="479" t="s">
        <v>33</v>
      </c>
      <c r="Z25" s="479" t="s">
        <v>33</v>
      </c>
      <c r="AA25" s="479" t="s">
        <v>33</v>
      </c>
      <c r="AB25" s="479" t="s">
        <v>33</v>
      </c>
      <c r="AC25" s="479" t="s">
        <v>33</v>
      </c>
      <c r="AD25" s="479" t="s">
        <v>33</v>
      </c>
      <c r="AE25" s="448">
        <f>IF(F25=2023,K25,0)</f>
        <v>6.8267619266116659</v>
      </c>
      <c r="AF25" s="479">
        <f>P25</f>
        <v>5.3670154700000001</v>
      </c>
      <c r="AG25" s="448" t="s">
        <v>33</v>
      </c>
      <c r="AH25" s="479" t="s">
        <v>33</v>
      </c>
      <c r="AI25" s="448" t="s">
        <v>33</v>
      </c>
      <c r="AJ25" s="479" t="s">
        <v>33</v>
      </c>
      <c r="AK25" s="479" t="s">
        <v>33</v>
      </c>
      <c r="AL25" s="479" t="s">
        <v>33</v>
      </c>
      <c r="AM25" s="448">
        <f>K25</f>
        <v>6.8267619266116659</v>
      </c>
      <c r="AN25" s="448">
        <f t="shared" ref="AN25:AN29" si="53">P25</f>
        <v>5.3670154700000001</v>
      </c>
      <c r="AO25" s="452" t="s">
        <v>667</v>
      </c>
    </row>
    <row r="26" spans="1:41" s="433" customFormat="1" ht="15.75" customHeight="1" x14ac:dyDescent="0.25">
      <c r="A26" s="13" t="s">
        <v>578</v>
      </c>
      <c r="B26" s="236" t="s">
        <v>651</v>
      </c>
      <c r="C26" s="201" t="s">
        <v>1349</v>
      </c>
      <c r="D26" s="446" t="str">
        <f>Ф2!D26</f>
        <v>П</v>
      </c>
      <c r="E26" s="409">
        <f>Ф2!E26</f>
        <v>2024</v>
      </c>
      <c r="F26" s="409">
        <f>Ф2!F26</f>
        <v>2024</v>
      </c>
      <c r="G26" s="447">
        <f>Ф2!G26</f>
        <v>2024</v>
      </c>
      <c r="H26" s="448">
        <f>Ф2!H26/1.2</f>
        <v>0.73764333333333332</v>
      </c>
      <c r="I26" s="448">
        <f>Ф2!K26/1.2</f>
        <v>0.89556723999999999</v>
      </c>
      <c r="J26" s="479" t="s">
        <v>33</v>
      </c>
      <c r="K26" s="448">
        <f t="shared" si="52"/>
        <v>0.83454388374825994</v>
      </c>
      <c r="L26" s="479" t="s">
        <v>33</v>
      </c>
      <c r="M26" s="448">
        <v>0.83454388374825994</v>
      </c>
      <c r="N26" s="448" t="s">
        <v>33</v>
      </c>
      <c r="O26" s="479" t="s">
        <v>33</v>
      </c>
      <c r="P26" s="448">
        <f>Ф2!S26/1.2</f>
        <v>0.93407663131999996</v>
      </c>
      <c r="Q26" s="479" t="s">
        <v>33</v>
      </c>
      <c r="R26" s="479">
        <f>P26-S26</f>
        <v>0.50264463131999992</v>
      </c>
      <c r="S26" s="479">
        <v>0.43143199999999998</v>
      </c>
      <c r="T26" s="479" t="s">
        <v>33</v>
      </c>
      <c r="U26" s="479" t="s">
        <v>33</v>
      </c>
      <c r="V26" s="479" t="s">
        <v>33</v>
      </c>
      <c r="W26" s="479" t="s">
        <v>33</v>
      </c>
      <c r="X26" s="479" t="s">
        <v>33</v>
      </c>
      <c r="Y26" s="479" t="s">
        <v>33</v>
      </c>
      <c r="Z26" s="479" t="s">
        <v>33</v>
      </c>
      <c r="AA26" s="479" t="s">
        <v>33</v>
      </c>
      <c r="AB26" s="479" t="s">
        <v>33</v>
      </c>
      <c r="AC26" s="479" t="s">
        <v>33</v>
      </c>
      <c r="AD26" s="479" t="s">
        <v>33</v>
      </c>
      <c r="AE26" s="448" t="s">
        <v>33</v>
      </c>
      <c r="AF26" s="479" t="s">
        <v>33</v>
      </c>
      <c r="AG26" s="448">
        <f t="shared" ref="AG26:AG27" si="54">IF(F26=2024,K26,0)</f>
        <v>0.83454388374825994</v>
      </c>
      <c r="AH26" s="479">
        <f>P26</f>
        <v>0.93407663131999996</v>
      </c>
      <c r="AI26" s="448" t="s">
        <v>33</v>
      </c>
      <c r="AJ26" s="479" t="s">
        <v>33</v>
      </c>
      <c r="AK26" s="479" t="s">
        <v>33</v>
      </c>
      <c r="AL26" s="479" t="s">
        <v>33</v>
      </c>
      <c r="AM26" s="448">
        <f t="shared" ref="AM26:AM29" si="55">K26</f>
        <v>0.83454388374825994</v>
      </c>
      <c r="AN26" s="448">
        <f t="shared" si="53"/>
        <v>0.93407663131999996</v>
      </c>
      <c r="AO26" s="640" t="s">
        <v>665</v>
      </c>
    </row>
    <row r="27" spans="1:41" s="433" customFormat="1" x14ac:dyDescent="0.25">
      <c r="A27" s="13" t="s">
        <v>580</v>
      </c>
      <c r="B27" s="236" t="s">
        <v>652</v>
      </c>
      <c r="C27" s="201" t="s">
        <v>1350</v>
      </c>
      <c r="D27" s="446" t="str">
        <f>Ф2!D27</f>
        <v>П</v>
      </c>
      <c r="E27" s="409">
        <f>Ф2!E27</f>
        <v>2024</v>
      </c>
      <c r="F27" s="409">
        <f>Ф2!F27</f>
        <v>2024</v>
      </c>
      <c r="G27" s="447">
        <f>Ф2!G27</f>
        <v>2024</v>
      </c>
      <c r="H27" s="448">
        <f>Ф2!H27/1.2</f>
        <v>0.77069333333333334</v>
      </c>
      <c r="I27" s="448">
        <f>Ф2!K27/1.2</f>
        <v>0.9298472000000001</v>
      </c>
      <c r="J27" s="479" t="s">
        <v>33</v>
      </c>
      <c r="K27" s="448">
        <f t="shared" si="52"/>
        <v>0.87193549851856</v>
      </c>
      <c r="L27" s="479" t="s">
        <v>33</v>
      </c>
      <c r="M27" s="448">
        <v>0.87193549851856</v>
      </c>
      <c r="N27" s="448" t="s">
        <v>33</v>
      </c>
      <c r="O27" s="479" t="s">
        <v>33</v>
      </c>
      <c r="P27" s="448">
        <f>Ф2!S27/1.2</f>
        <v>0.96983062959999999</v>
      </c>
      <c r="Q27" s="479" t="s">
        <v>33</v>
      </c>
      <c r="R27" s="479">
        <f>P27-S27</f>
        <v>0.53508062959999991</v>
      </c>
      <c r="S27" s="479">
        <v>0.43475000000000003</v>
      </c>
      <c r="T27" s="479" t="s">
        <v>33</v>
      </c>
      <c r="U27" s="479" t="s">
        <v>33</v>
      </c>
      <c r="V27" s="479" t="s">
        <v>33</v>
      </c>
      <c r="W27" s="479" t="s">
        <v>33</v>
      </c>
      <c r="X27" s="479" t="s">
        <v>33</v>
      </c>
      <c r="Y27" s="479" t="s">
        <v>33</v>
      </c>
      <c r="Z27" s="479" t="s">
        <v>33</v>
      </c>
      <c r="AA27" s="479" t="s">
        <v>33</v>
      </c>
      <c r="AB27" s="479" t="s">
        <v>33</v>
      </c>
      <c r="AC27" s="479" t="s">
        <v>33</v>
      </c>
      <c r="AD27" s="479" t="s">
        <v>33</v>
      </c>
      <c r="AE27" s="448" t="s">
        <v>33</v>
      </c>
      <c r="AF27" s="479" t="s">
        <v>33</v>
      </c>
      <c r="AG27" s="448">
        <f t="shared" si="54"/>
        <v>0.87193549851856</v>
      </c>
      <c r="AH27" s="479">
        <f>P27</f>
        <v>0.96983062959999999</v>
      </c>
      <c r="AI27" s="448" t="s">
        <v>33</v>
      </c>
      <c r="AJ27" s="479" t="s">
        <v>33</v>
      </c>
      <c r="AK27" s="479" t="s">
        <v>33</v>
      </c>
      <c r="AL27" s="479" t="s">
        <v>33</v>
      </c>
      <c r="AM27" s="448">
        <f t="shared" si="55"/>
        <v>0.87193549851856</v>
      </c>
      <c r="AN27" s="448">
        <f t="shared" si="53"/>
        <v>0.96983062959999999</v>
      </c>
      <c r="AO27" s="641"/>
    </row>
    <row r="28" spans="1:41" s="433" customFormat="1" ht="31.5" x14ac:dyDescent="0.25">
      <c r="A28" s="13"/>
      <c r="B28" s="236" t="s">
        <v>1340</v>
      </c>
      <c r="C28" s="201" t="s">
        <v>1351</v>
      </c>
      <c r="D28" s="446" t="str">
        <f>Ф2!D28</f>
        <v>П</v>
      </c>
      <c r="E28" s="409">
        <f>Ф2!E28</f>
        <v>2024</v>
      </c>
      <c r="F28" s="409">
        <f>Ф2!F28</f>
        <v>2024</v>
      </c>
      <c r="G28" s="447">
        <f>Ф2!G28</f>
        <v>2024</v>
      </c>
      <c r="H28" s="448">
        <f>Ф2!H28/1.2</f>
        <v>0</v>
      </c>
      <c r="I28" s="448">
        <f>Ф2!K28/1.2</f>
        <v>8.2554162800000004</v>
      </c>
      <c r="J28" s="479" t="s">
        <v>33</v>
      </c>
      <c r="K28" s="479" t="s">
        <v>33</v>
      </c>
      <c r="L28" s="479" t="s">
        <v>33</v>
      </c>
      <c r="M28" s="479" t="s">
        <v>33</v>
      </c>
      <c r="N28" s="479" t="s">
        <v>33</v>
      </c>
      <c r="O28" s="479" t="s">
        <v>33</v>
      </c>
      <c r="P28" s="448">
        <f>Ф2!S28/1.2</f>
        <v>8.6103991800399999</v>
      </c>
      <c r="Q28" s="479" t="s">
        <v>33</v>
      </c>
      <c r="R28" s="479">
        <f>P28-S28</f>
        <v>3.0429991800399998</v>
      </c>
      <c r="S28" s="479">
        <v>5.5674000000000001</v>
      </c>
      <c r="T28" s="479" t="s">
        <v>33</v>
      </c>
      <c r="U28" s="479" t="s">
        <v>33</v>
      </c>
      <c r="V28" s="479" t="s">
        <v>33</v>
      </c>
      <c r="W28" s="479" t="s">
        <v>33</v>
      </c>
      <c r="X28" s="479" t="s">
        <v>33</v>
      </c>
      <c r="Y28" s="479" t="s">
        <v>33</v>
      </c>
      <c r="Z28" s="479" t="s">
        <v>33</v>
      </c>
      <c r="AA28" s="479" t="s">
        <v>33</v>
      </c>
      <c r="AB28" s="479" t="s">
        <v>33</v>
      </c>
      <c r="AC28" s="479" t="s">
        <v>33</v>
      </c>
      <c r="AD28" s="479" t="s">
        <v>33</v>
      </c>
      <c r="AE28" s="448" t="s">
        <v>33</v>
      </c>
      <c r="AF28" s="479" t="s">
        <v>33</v>
      </c>
      <c r="AG28" s="479" t="s">
        <v>33</v>
      </c>
      <c r="AH28" s="479">
        <f>P28</f>
        <v>8.6103991800399999</v>
      </c>
      <c r="AI28" s="479" t="s">
        <v>33</v>
      </c>
      <c r="AJ28" s="479" t="s">
        <v>33</v>
      </c>
      <c r="AK28" s="479" t="s">
        <v>33</v>
      </c>
      <c r="AL28" s="479" t="s">
        <v>33</v>
      </c>
      <c r="AM28" s="448" t="str">
        <f t="shared" si="55"/>
        <v>нд</v>
      </c>
      <c r="AN28" s="448">
        <f t="shared" si="53"/>
        <v>8.6103991800399999</v>
      </c>
      <c r="AO28" s="452" t="s">
        <v>478</v>
      </c>
    </row>
    <row r="29" spans="1:41" s="432" customFormat="1" ht="50.25" customHeight="1" x14ac:dyDescent="0.25">
      <c r="A29" s="13" t="s">
        <v>581</v>
      </c>
      <c r="B29" s="236" t="s">
        <v>653</v>
      </c>
      <c r="C29" s="201" t="s">
        <v>640</v>
      </c>
      <c r="D29" s="446" t="str">
        <f>Ф2!D29</f>
        <v>П</v>
      </c>
      <c r="E29" s="409">
        <f>Ф2!E29</f>
        <v>2025</v>
      </c>
      <c r="F29" s="409">
        <f>Ф2!F29</f>
        <v>2025</v>
      </c>
      <c r="G29" s="409" t="s">
        <v>33</v>
      </c>
      <c r="H29" s="448">
        <f>Ф2!H29/1.2</f>
        <v>1.5285674999999999</v>
      </c>
      <c r="I29" s="448">
        <f>Ф2!K29/1.2</f>
        <v>1.5285674999999999</v>
      </c>
      <c r="J29" s="479" t="s">
        <v>33</v>
      </c>
      <c r="K29" s="448">
        <f>SUM(L29:O29)</f>
        <v>1.8002719213896201</v>
      </c>
      <c r="L29" s="479" t="s">
        <v>33</v>
      </c>
      <c r="M29" s="448">
        <v>1.7672948930288122</v>
      </c>
      <c r="N29" s="448">
        <f>0.028*Ф17!E15*Ф17!F15*Ф17!G15*Ф17!H15</f>
        <v>3.2977028360807993E-2</v>
      </c>
      <c r="O29" s="479" t="s">
        <v>33</v>
      </c>
      <c r="P29" s="448">
        <f>Ф2!S29/1.2</f>
        <v>1.8002719213896201</v>
      </c>
      <c r="Q29" s="479" t="s">
        <v>33</v>
      </c>
      <c r="R29" s="479">
        <f>M29</f>
        <v>1.7672948930288122</v>
      </c>
      <c r="S29" s="479">
        <f>N29</f>
        <v>3.2977028360807993E-2</v>
      </c>
      <c r="T29" s="479" t="s">
        <v>33</v>
      </c>
      <c r="U29" s="479" t="s">
        <v>33</v>
      </c>
      <c r="V29" s="479" t="s">
        <v>33</v>
      </c>
      <c r="W29" s="479" t="s">
        <v>33</v>
      </c>
      <c r="X29" s="479" t="s">
        <v>33</v>
      </c>
      <c r="Y29" s="479" t="s">
        <v>33</v>
      </c>
      <c r="Z29" s="479" t="s">
        <v>33</v>
      </c>
      <c r="AA29" s="479" t="s">
        <v>33</v>
      </c>
      <c r="AB29" s="479" t="s">
        <v>33</v>
      </c>
      <c r="AC29" s="479" t="s">
        <v>33</v>
      </c>
      <c r="AD29" s="479" t="s">
        <v>33</v>
      </c>
      <c r="AE29" s="448" t="s">
        <v>33</v>
      </c>
      <c r="AF29" s="479" t="s">
        <v>33</v>
      </c>
      <c r="AG29" s="448" t="s">
        <v>33</v>
      </c>
      <c r="AH29" s="479" t="s">
        <v>33</v>
      </c>
      <c r="AI29" s="448">
        <f t="shared" ref="AI29" si="56">IF(F29=2025,K29,0)</f>
        <v>1.8002719213896201</v>
      </c>
      <c r="AJ29" s="479">
        <f>P29</f>
        <v>1.8002719213896201</v>
      </c>
      <c r="AK29" s="479" t="s">
        <v>33</v>
      </c>
      <c r="AL29" s="479" t="s">
        <v>33</v>
      </c>
      <c r="AM29" s="448">
        <f t="shared" si="55"/>
        <v>1.8002719213896201</v>
      </c>
      <c r="AN29" s="448">
        <f t="shared" si="53"/>
        <v>1.8002719213896201</v>
      </c>
      <c r="AO29" s="452" t="s">
        <v>668</v>
      </c>
    </row>
    <row r="30" spans="1:41" s="126" customFormat="1" ht="31.5" x14ac:dyDescent="0.25">
      <c r="A30" s="124" t="s">
        <v>68</v>
      </c>
      <c r="B30" s="39" t="s">
        <v>69</v>
      </c>
      <c r="C30" s="442" t="str">
        <f>Ф2!C30</f>
        <v>нд</v>
      </c>
      <c r="D30" s="442" t="str">
        <f>Ф2!D30</f>
        <v>нд</v>
      </c>
      <c r="E30" s="442" t="str">
        <f>Ф2!E30</f>
        <v>нд</v>
      </c>
      <c r="F30" s="442" t="str">
        <f>Ф2!F30</f>
        <v>нд</v>
      </c>
      <c r="G30" s="442" t="str">
        <f>Ф2!G30</f>
        <v>нд</v>
      </c>
      <c r="H30" s="478">
        <f>H31</f>
        <v>24.357266666666664</v>
      </c>
      <c r="I30" s="478">
        <f>I31</f>
        <v>16.684403333333336</v>
      </c>
      <c r="J30" s="478" t="str">
        <f>J31</f>
        <v>нд</v>
      </c>
      <c r="K30" s="478">
        <f t="shared" ref="K30:AN30" si="57">K31</f>
        <v>27.189393560052764</v>
      </c>
      <c r="L30" s="478" t="str">
        <f>L31</f>
        <v>нд</v>
      </c>
      <c r="M30" s="478">
        <v>6.1671979828202641</v>
      </c>
      <c r="N30" s="478">
        <f t="shared" si="57"/>
        <v>21.022195577232502</v>
      </c>
      <c r="O30" s="478" t="str">
        <f>O31</f>
        <v>нд</v>
      </c>
      <c r="P30" s="478">
        <f t="shared" si="57"/>
        <v>18.658436923093696</v>
      </c>
      <c r="Q30" s="478" t="str">
        <f t="shared" ref="Q30:U31" si="58">Q31</f>
        <v>нд</v>
      </c>
      <c r="R30" s="478">
        <f t="shared" si="57"/>
        <v>3.9837015293451907</v>
      </c>
      <c r="S30" s="478">
        <f t="shared" si="57"/>
        <v>14.674735393748502</v>
      </c>
      <c r="T30" s="478" t="str">
        <f t="shared" si="58"/>
        <v>нд</v>
      </c>
      <c r="U30" s="478" t="str">
        <f t="shared" si="58"/>
        <v>нд</v>
      </c>
      <c r="V30" s="478" t="str">
        <f>V31</f>
        <v>нд</v>
      </c>
      <c r="W30" s="478" t="str">
        <f t="shared" ref="W30:W31" si="59">W31</f>
        <v>нд</v>
      </c>
      <c r="X30" s="478" t="str">
        <f t="shared" ref="X30:X31" si="60">X31</f>
        <v>нд</v>
      </c>
      <c r="Y30" s="478" t="str">
        <f t="shared" ref="Y30:Y31" si="61">Y31</f>
        <v>нд</v>
      </c>
      <c r="Z30" s="478" t="str">
        <f t="shared" ref="Z30:Z31" si="62">Z31</f>
        <v>нд</v>
      </c>
      <c r="AA30" s="478" t="str">
        <f t="shared" ref="AA30:AA31" si="63">AA31</f>
        <v>нд</v>
      </c>
      <c r="AB30" s="478" t="str">
        <f t="shared" ref="AB30:AF31" si="64">AB31</f>
        <v>нд</v>
      </c>
      <c r="AC30" s="478">
        <f t="shared" si="57"/>
        <v>8.0554510516666671</v>
      </c>
      <c r="AD30" s="478">
        <f t="shared" si="64"/>
        <v>8.0554510516666671</v>
      </c>
      <c r="AE30" s="478">
        <f t="shared" si="57"/>
        <v>5.8877787503733332</v>
      </c>
      <c r="AF30" s="478" t="str">
        <f t="shared" si="64"/>
        <v>нд</v>
      </c>
      <c r="AG30" s="478">
        <f t="shared" si="57"/>
        <v>3.7237258865857399</v>
      </c>
      <c r="AH30" s="478">
        <f t="shared" si="57"/>
        <v>1.0805480000000001</v>
      </c>
      <c r="AI30" s="478">
        <f t="shared" si="57"/>
        <v>4.5097833280740725</v>
      </c>
      <c r="AJ30" s="478">
        <f t="shared" si="57"/>
        <v>4.5097833280740725</v>
      </c>
      <c r="AK30" s="478">
        <f t="shared" si="57"/>
        <v>5.0126545433529532</v>
      </c>
      <c r="AL30" s="478">
        <f t="shared" si="57"/>
        <v>5.0126545433529532</v>
      </c>
      <c r="AM30" s="478">
        <f t="shared" si="57"/>
        <v>27.189393560052764</v>
      </c>
      <c r="AN30" s="478">
        <f t="shared" si="57"/>
        <v>18.658436923093696</v>
      </c>
      <c r="AO30" s="442" t="s">
        <v>33</v>
      </c>
    </row>
    <row r="31" spans="1:41" s="431" customFormat="1" ht="33.75" customHeight="1" outlineLevel="1" x14ac:dyDescent="0.25">
      <c r="A31" s="127" t="s">
        <v>70</v>
      </c>
      <c r="B31" s="10" t="s">
        <v>71</v>
      </c>
      <c r="C31" s="444" t="str">
        <f>Ф2!C31</f>
        <v>нд</v>
      </c>
      <c r="D31" s="444" t="str">
        <f>Ф2!D31</f>
        <v>нд</v>
      </c>
      <c r="E31" s="444" t="str">
        <f>Ф2!E31</f>
        <v>нд</v>
      </c>
      <c r="F31" s="444" t="str">
        <f>Ф2!F31</f>
        <v>нд</v>
      </c>
      <c r="G31" s="444" t="str">
        <f>Ф2!G31</f>
        <v>нд</v>
      </c>
      <c r="H31" s="450">
        <f>SUM(H32:H37)</f>
        <v>24.357266666666664</v>
      </c>
      <c r="I31" s="450">
        <f>SUM(I32:I37)</f>
        <v>16.684403333333336</v>
      </c>
      <c r="J31" s="450" t="str">
        <f>J32</f>
        <v>нд</v>
      </c>
      <c r="K31" s="450">
        <f t="shared" ref="K31:AM31" si="65">SUM(K32:K37)</f>
        <v>27.189393560052764</v>
      </c>
      <c r="L31" s="450" t="str">
        <f>L32</f>
        <v>нд</v>
      </c>
      <c r="M31" s="450">
        <v>6.1671979828202641</v>
      </c>
      <c r="N31" s="450">
        <f t="shared" si="65"/>
        <v>21.022195577232502</v>
      </c>
      <c r="O31" s="450" t="str">
        <f>O32</f>
        <v>нд</v>
      </c>
      <c r="P31" s="450">
        <f t="shared" ref="P31:S31" si="66">SUM(P32:P37)</f>
        <v>18.658436923093696</v>
      </c>
      <c r="Q31" s="450" t="str">
        <f t="shared" si="58"/>
        <v>нд</v>
      </c>
      <c r="R31" s="450">
        <f t="shared" si="66"/>
        <v>3.9837015293451907</v>
      </c>
      <c r="S31" s="450">
        <f t="shared" si="66"/>
        <v>14.674735393748502</v>
      </c>
      <c r="T31" s="450" t="str">
        <f t="shared" si="58"/>
        <v>нд</v>
      </c>
      <c r="U31" s="450" t="str">
        <f t="shared" si="58"/>
        <v>нд</v>
      </c>
      <c r="V31" s="450" t="str">
        <f>V32</f>
        <v>нд</v>
      </c>
      <c r="W31" s="450" t="str">
        <f t="shared" si="59"/>
        <v>нд</v>
      </c>
      <c r="X31" s="450" t="str">
        <f t="shared" si="60"/>
        <v>нд</v>
      </c>
      <c r="Y31" s="450" t="str">
        <f t="shared" si="61"/>
        <v>нд</v>
      </c>
      <c r="Z31" s="450" t="str">
        <f t="shared" si="62"/>
        <v>нд</v>
      </c>
      <c r="AA31" s="450" t="str">
        <f t="shared" si="63"/>
        <v>нд</v>
      </c>
      <c r="AB31" s="450" t="str">
        <f t="shared" si="64"/>
        <v>нд</v>
      </c>
      <c r="AC31" s="450">
        <f t="shared" si="65"/>
        <v>8.0554510516666671</v>
      </c>
      <c r="AD31" s="450">
        <f t="shared" si="64"/>
        <v>8.0554510516666671</v>
      </c>
      <c r="AE31" s="450">
        <f t="shared" si="65"/>
        <v>5.8877787503733332</v>
      </c>
      <c r="AF31" s="450" t="str">
        <f t="shared" si="64"/>
        <v>нд</v>
      </c>
      <c r="AG31" s="450">
        <f t="shared" si="65"/>
        <v>3.7237258865857399</v>
      </c>
      <c r="AH31" s="450">
        <f t="shared" ref="AH31" si="67">SUM(AH32:AH37)</f>
        <v>1.0805480000000001</v>
      </c>
      <c r="AI31" s="450">
        <f t="shared" si="65"/>
        <v>4.5097833280740725</v>
      </c>
      <c r="AJ31" s="450">
        <f t="shared" ref="AJ31" si="68">SUM(AJ32:AJ37)</f>
        <v>4.5097833280740725</v>
      </c>
      <c r="AK31" s="450">
        <f t="shared" si="65"/>
        <v>5.0126545433529532</v>
      </c>
      <c r="AL31" s="450">
        <f t="shared" ref="AL31" si="69">SUM(AL32:AL37)</f>
        <v>5.0126545433529532</v>
      </c>
      <c r="AM31" s="450">
        <f t="shared" si="65"/>
        <v>27.189393560052764</v>
      </c>
      <c r="AN31" s="450">
        <f t="shared" ref="AN31" si="70">SUM(AN32:AN37)</f>
        <v>18.658436923093696</v>
      </c>
      <c r="AO31" s="444" t="s">
        <v>33</v>
      </c>
    </row>
    <row r="32" spans="1:41" s="431" customFormat="1" outlineLevel="1" x14ac:dyDescent="0.25">
      <c r="A32" s="13" t="s">
        <v>616</v>
      </c>
      <c r="B32" s="210" t="s">
        <v>621</v>
      </c>
      <c r="C32" s="201" t="s">
        <v>641</v>
      </c>
      <c r="D32" s="446" t="str">
        <f>Ф2!D32</f>
        <v>П</v>
      </c>
      <c r="E32" s="409">
        <f>Ф2!E32</f>
        <v>2022</v>
      </c>
      <c r="F32" s="409">
        <f>Ф2!F32</f>
        <v>2022</v>
      </c>
      <c r="G32" s="446" t="s">
        <v>33</v>
      </c>
      <c r="H32" s="448">
        <f>Ф2!H32/1.2</f>
        <v>7.7307591666666671</v>
      </c>
      <c r="I32" s="448">
        <f>Ф2!K32/1.2</f>
        <v>7.7307591666666671</v>
      </c>
      <c r="J32" s="448" t="s">
        <v>33</v>
      </c>
      <c r="K32" s="448">
        <f t="shared" ref="K32:K34" si="71">SUM(L32:O32)</f>
        <v>8.0554510516666671</v>
      </c>
      <c r="L32" s="448" t="s">
        <v>33</v>
      </c>
      <c r="M32" s="448">
        <v>1.8326270516666661</v>
      </c>
      <c r="N32" s="448">
        <f>5.972*Ф17!E15</f>
        <v>6.222824000000001</v>
      </c>
      <c r="O32" s="448" t="s">
        <v>33</v>
      </c>
      <c r="P32" s="448">
        <f>Ф2!S32/1.2</f>
        <v>8.0554510516666671</v>
      </c>
      <c r="Q32" s="448" t="s">
        <v>33</v>
      </c>
      <c r="R32" s="448">
        <f>M32</f>
        <v>1.8326270516666661</v>
      </c>
      <c r="S32" s="448">
        <f>N32</f>
        <v>6.222824000000001</v>
      </c>
      <c r="T32" s="448" t="s">
        <v>33</v>
      </c>
      <c r="U32" s="448" t="s">
        <v>33</v>
      </c>
      <c r="V32" s="448" t="s">
        <v>33</v>
      </c>
      <c r="W32" s="448" t="s">
        <v>33</v>
      </c>
      <c r="X32" s="448" t="s">
        <v>33</v>
      </c>
      <c r="Y32" s="448" t="s">
        <v>33</v>
      </c>
      <c r="Z32" s="448" t="s">
        <v>33</v>
      </c>
      <c r="AA32" s="448" t="s">
        <v>33</v>
      </c>
      <c r="AB32" s="448" t="s">
        <v>33</v>
      </c>
      <c r="AC32" s="448">
        <f>IF(F32=2022,K32,0)</f>
        <v>8.0554510516666671</v>
      </c>
      <c r="AD32" s="448">
        <f>P32</f>
        <v>8.0554510516666671</v>
      </c>
      <c r="AE32" s="448" t="s">
        <v>33</v>
      </c>
      <c r="AF32" s="448" t="s">
        <v>33</v>
      </c>
      <c r="AG32" s="448" t="s">
        <v>33</v>
      </c>
      <c r="AH32" s="448" t="s">
        <v>33</v>
      </c>
      <c r="AI32" s="448" t="s">
        <v>33</v>
      </c>
      <c r="AJ32" s="448" t="s">
        <v>33</v>
      </c>
      <c r="AK32" s="448" t="s">
        <v>33</v>
      </c>
      <c r="AL32" s="448" t="s">
        <v>33</v>
      </c>
      <c r="AM32" s="448">
        <f>K32</f>
        <v>8.0554510516666671</v>
      </c>
      <c r="AN32" s="448">
        <f t="shared" ref="AN32:AN41" si="72">P32</f>
        <v>8.0554510516666671</v>
      </c>
      <c r="AO32" s="640" t="s">
        <v>669</v>
      </c>
    </row>
    <row r="33" spans="1:41" s="431" customFormat="1" outlineLevel="1" x14ac:dyDescent="0.25">
      <c r="A33" s="13" t="s">
        <v>617</v>
      </c>
      <c r="B33" s="210" t="s">
        <v>621</v>
      </c>
      <c r="C33" s="201" t="s">
        <v>1359</v>
      </c>
      <c r="D33" s="446" t="str">
        <f>Ф2!D33</f>
        <v>П</v>
      </c>
      <c r="E33" s="409">
        <f>Ф2!E33</f>
        <v>2023</v>
      </c>
      <c r="F33" s="409">
        <f>Ф2!F33</f>
        <v>2023</v>
      </c>
      <c r="G33" s="447" t="str">
        <f>Ф2!G33</f>
        <v>нд</v>
      </c>
      <c r="H33" s="448">
        <f>Ф2!H33/1.2</f>
        <v>5.4175066666666662</v>
      </c>
      <c r="I33" s="448">
        <v>0</v>
      </c>
      <c r="J33" s="448" t="s">
        <v>33</v>
      </c>
      <c r="K33" s="448">
        <f t="shared" si="71"/>
        <v>5.8877787503733332</v>
      </c>
      <c r="L33" s="448" t="s">
        <v>33</v>
      </c>
      <c r="M33" s="448">
        <v>1.3492768943733333</v>
      </c>
      <c r="N33" s="448">
        <f>4.176*Ф17!E15*Ф17!F15</f>
        <v>4.5385018559999999</v>
      </c>
      <c r="O33" s="448" t="s">
        <v>33</v>
      </c>
      <c r="P33" s="448" t="s">
        <v>33</v>
      </c>
      <c r="Q33" s="448" t="s">
        <v>33</v>
      </c>
      <c r="R33" s="448" t="s">
        <v>33</v>
      </c>
      <c r="S33" s="448" t="s">
        <v>33</v>
      </c>
      <c r="T33" s="448" t="s">
        <v>33</v>
      </c>
      <c r="U33" s="448" t="s">
        <v>33</v>
      </c>
      <c r="V33" s="448" t="s">
        <v>33</v>
      </c>
      <c r="W33" s="448" t="s">
        <v>33</v>
      </c>
      <c r="X33" s="448" t="s">
        <v>33</v>
      </c>
      <c r="Y33" s="448" t="s">
        <v>33</v>
      </c>
      <c r="Z33" s="448" t="s">
        <v>33</v>
      </c>
      <c r="AA33" s="448" t="s">
        <v>33</v>
      </c>
      <c r="AB33" s="448" t="s">
        <v>33</v>
      </c>
      <c r="AC33" s="448" t="s">
        <v>33</v>
      </c>
      <c r="AD33" s="448" t="s">
        <v>33</v>
      </c>
      <c r="AE33" s="448">
        <f t="shared" ref="AE33" si="73">IF(F33=2023,K33,0)</f>
        <v>5.8877787503733332</v>
      </c>
      <c r="AF33" s="448" t="s">
        <v>33</v>
      </c>
      <c r="AG33" s="448" t="s">
        <v>33</v>
      </c>
      <c r="AH33" s="448" t="s">
        <v>33</v>
      </c>
      <c r="AI33" s="448" t="s">
        <v>33</v>
      </c>
      <c r="AJ33" s="448" t="s">
        <v>33</v>
      </c>
      <c r="AK33" s="448" t="s">
        <v>33</v>
      </c>
      <c r="AL33" s="448" t="s">
        <v>33</v>
      </c>
      <c r="AM33" s="448">
        <f t="shared" ref="AM33:AM41" si="74">K33</f>
        <v>5.8877787503733332</v>
      </c>
      <c r="AN33" s="448" t="str">
        <f t="shared" si="72"/>
        <v>нд</v>
      </c>
      <c r="AO33" s="642"/>
    </row>
    <row r="34" spans="1:41" s="431" customFormat="1" outlineLevel="1" x14ac:dyDescent="0.25">
      <c r="A34" s="13" t="s">
        <v>618</v>
      </c>
      <c r="B34" s="210" t="s">
        <v>621</v>
      </c>
      <c r="C34" s="201" t="s">
        <v>1360</v>
      </c>
      <c r="D34" s="446" t="str">
        <f>Ф2!D34</f>
        <v>П</v>
      </c>
      <c r="E34" s="409">
        <f>Ф2!E34</f>
        <v>2024</v>
      </c>
      <c r="F34" s="409">
        <f>Ф2!F34</f>
        <v>2024</v>
      </c>
      <c r="G34" s="447" t="str">
        <f>Ф2!G34</f>
        <v>нд</v>
      </c>
      <c r="H34" s="448">
        <f>Ф2!H34/1.2</f>
        <v>3.2913566666666667</v>
      </c>
      <c r="I34" s="448">
        <v>0</v>
      </c>
      <c r="J34" s="448" t="s">
        <v>33</v>
      </c>
      <c r="K34" s="448">
        <f t="shared" si="71"/>
        <v>3.7237258865857399</v>
      </c>
      <c r="L34" s="448" t="s">
        <v>33</v>
      </c>
      <c r="M34" s="448">
        <v>0.8342195591017405</v>
      </c>
      <c r="N34" s="448">
        <f>2.554*Ф17!E15*Ф17!F15*Ф17!G15</f>
        <v>2.8895063274839994</v>
      </c>
      <c r="O34" s="448" t="s">
        <v>33</v>
      </c>
      <c r="P34" s="448" t="s">
        <v>33</v>
      </c>
      <c r="Q34" s="448" t="s">
        <v>33</v>
      </c>
      <c r="R34" s="448" t="s">
        <v>33</v>
      </c>
      <c r="S34" s="448" t="s">
        <v>33</v>
      </c>
      <c r="T34" s="448" t="s">
        <v>33</v>
      </c>
      <c r="U34" s="448" t="s">
        <v>33</v>
      </c>
      <c r="V34" s="448" t="s">
        <v>33</v>
      </c>
      <c r="W34" s="448" t="s">
        <v>33</v>
      </c>
      <c r="X34" s="448" t="s">
        <v>33</v>
      </c>
      <c r="Y34" s="448" t="s">
        <v>33</v>
      </c>
      <c r="Z34" s="448" t="s">
        <v>33</v>
      </c>
      <c r="AA34" s="448" t="s">
        <v>33</v>
      </c>
      <c r="AB34" s="448" t="s">
        <v>33</v>
      </c>
      <c r="AC34" s="448" t="s">
        <v>33</v>
      </c>
      <c r="AD34" s="448" t="s">
        <v>33</v>
      </c>
      <c r="AE34" s="448" t="s">
        <v>33</v>
      </c>
      <c r="AF34" s="448" t="s">
        <v>33</v>
      </c>
      <c r="AG34" s="448">
        <f t="shared" ref="AG34" si="75">IF(F34=2024,K34,0)</f>
        <v>3.7237258865857399</v>
      </c>
      <c r="AH34" s="448" t="s">
        <v>33</v>
      </c>
      <c r="AI34" s="448" t="s">
        <v>33</v>
      </c>
      <c r="AJ34" s="448" t="s">
        <v>33</v>
      </c>
      <c r="AK34" s="448" t="s">
        <v>33</v>
      </c>
      <c r="AL34" s="448" t="s">
        <v>33</v>
      </c>
      <c r="AM34" s="448">
        <f t="shared" si="74"/>
        <v>3.7237258865857399</v>
      </c>
      <c r="AN34" s="448" t="str">
        <f t="shared" si="72"/>
        <v>нд</v>
      </c>
      <c r="AO34" s="642"/>
    </row>
    <row r="35" spans="1:41" s="431" customFormat="1" ht="19.5" customHeight="1" outlineLevel="1" x14ac:dyDescent="0.25">
      <c r="A35" s="13" t="s">
        <v>619</v>
      </c>
      <c r="B35" s="210" t="s">
        <v>1334</v>
      </c>
      <c r="C35" s="201" t="s">
        <v>1341</v>
      </c>
      <c r="D35" s="446" t="str">
        <f>Ф2!D35</f>
        <v>П</v>
      </c>
      <c r="E35" s="409">
        <f>Ф2!E35</f>
        <v>2024</v>
      </c>
      <c r="F35" s="409">
        <f>Ф2!F35</f>
        <v>2024</v>
      </c>
      <c r="G35" s="447">
        <f>Ф2!G35</f>
        <v>2024</v>
      </c>
      <c r="H35" s="448">
        <f>Ф2!H35/1.2</f>
        <v>0</v>
      </c>
      <c r="I35" s="448">
        <f>Ф2!K35/1.2</f>
        <v>1.036</v>
      </c>
      <c r="J35" s="448" t="s">
        <v>33</v>
      </c>
      <c r="K35" s="448" t="s">
        <v>33</v>
      </c>
      <c r="L35" s="448" t="s">
        <v>33</v>
      </c>
      <c r="M35" s="448" t="s">
        <v>33</v>
      </c>
      <c r="N35" s="448" t="s">
        <v>33</v>
      </c>
      <c r="O35" s="448" t="s">
        <v>33</v>
      </c>
      <c r="P35" s="448">
        <f>Ф2!S35/1.2</f>
        <v>1.0805480000000001</v>
      </c>
      <c r="Q35" s="448" t="s">
        <v>33</v>
      </c>
      <c r="R35" s="448" t="s">
        <v>33</v>
      </c>
      <c r="S35" s="448">
        <f>P35</f>
        <v>1.0805480000000001</v>
      </c>
      <c r="T35" s="448" t="s">
        <v>33</v>
      </c>
      <c r="U35" s="448" t="s">
        <v>33</v>
      </c>
      <c r="V35" s="448" t="s">
        <v>33</v>
      </c>
      <c r="W35" s="448" t="s">
        <v>33</v>
      </c>
      <c r="X35" s="448" t="s">
        <v>33</v>
      </c>
      <c r="Y35" s="448" t="s">
        <v>33</v>
      </c>
      <c r="Z35" s="448" t="s">
        <v>33</v>
      </c>
      <c r="AA35" s="448" t="s">
        <v>33</v>
      </c>
      <c r="AB35" s="448" t="s">
        <v>33</v>
      </c>
      <c r="AC35" s="448" t="s">
        <v>33</v>
      </c>
      <c r="AD35" s="448" t="s">
        <v>33</v>
      </c>
      <c r="AE35" s="448" t="s">
        <v>33</v>
      </c>
      <c r="AF35" s="448" t="s">
        <v>33</v>
      </c>
      <c r="AG35" s="448" t="s">
        <v>33</v>
      </c>
      <c r="AH35" s="448">
        <f>P35</f>
        <v>1.0805480000000001</v>
      </c>
      <c r="AI35" s="448" t="s">
        <v>33</v>
      </c>
      <c r="AJ35" s="448" t="s">
        <v>33</v>
      </c>
      <c r="AK35" s="448" t="s">
        <v>33</v>
      </c>
      <c r="AL35" s="448" t="s">
        <v>33</v>
      </c>
      <c r="AM35" s="448" t="str">
        <f t="shared" si="74"/>
        <v>нд</v>
      </c>
      <c r="AN35" s="448">
        <f t="shared" si="72"/>
        <v>1.0805480000000001</v>
      </c>
      <c r="AO35" s="642"/>
    </row>
    <row r="36" spans="1:41" s="431" customFormat="1" outlineLevel="1" x14ac:dyDescent="0.25">
      <c r="A36" s="13" t="s">
        <v>620</v>
      </c>
      <c r="B36" s="210" t="s">
        <v>621</v>
      </c>
      <c r="C36" s="201" t="s">
        <v>644</v>
      </c>
      <c r="D36" s="446" t="str">
        <f>Ф2!D36</f>
        <v>П</v>
      </c>
      <c r="E36" s="409">
        <f>Ф2!E36</f>
        <v>2025</v>
      </c>
      <c r="F36" s="409">
        <f>Ф2!F36</f>
        <v>2025</v>
      </c>
      <c r="G36" s="446" t="s">
        <v>33</v>
      </c>
      <c r="H36" s="448">
        <f>Ф2!H36/1.2</f>
        <v>3.8291483333333338</v>
      </c>
      <c r="I36" s="448">
        <f>Ф2!K36/1.2</f>
        <v>3.8291483333333338</v>
      </c>
      <c r="J36" s="448" t="s">
        <v>33</v>
      </c>
      <c r="K36" s="448">
        <f>SUM(L36:O36)</f>
        <v>4.5097833280740725</v>
      </c>
      <c r="L36" s="448" t="s">
        <v>33</v>
      </c>
      <c r="M36" s="448">
        <v>1.0212848279057405</v>
      </c>
      <c r="N36" s="448">
        <f>2.962*Ф17!E15*Ф17!F15*Ф17!G15*Ф17!H15</f>
        <v>3.488498500168332</v>
      </c>
      <c r="O36" s="448" t="s">
        <v>33</v>
      </c>
      <c r="P36" s="448">
        <f>Ф2!S36/1.2</f>
        <v>4.5097833280740725</v>
      </c>
      <c r="Q36" s="448" t="s">
        <v>33</v>
      </c>
      <c r="R36" s="448">
        <f>M36</f>
        <v>1.0212848279057405</v>
      </c>
      <c r="S36" s="448">
        <f>N36</f>
        <v>3.488498500168332</v>
      </c>
      <c r="T36" s="448" t="s">
        <v>33</v>
      </c>
      <c r="U36" s="448" t="s">
        <v>33</v>
      </c>
      <c r="V36" s="448" t="s">
        <v>33</v>
      </c>
      <c r="W36" s="448" t="s">
        <v>33</v>
      </c>
      <c r="X36" s="448" t="s">
        <v>33</v>
      </c>
      <c r="Y36" s="448" t="s">
        <v>33</v>
      </c>
      <c r="Z36" s="448" t="s">
        <v>33</v>
      </c>
      <c r="AA36" s="448" t="s">
        <v>33</v>
      </c>
      <c r="AB36" s="448" t="s">
        <v>33</v>
      </c>
      <c r="AC36" s="448" t="s">
        <v>33</v>
      </c>
      <c r="AD36" s="448" t="s">
        <v>33</v>
      </c>
      <c r="AE36" s="448" t="s">
        <v>33</v>
      </c>
      <c r="AF36" s="448" t="s">
        <v>33</v>
      </c>
      <c r="AG36" s="448" t="s">
        <v>33</v>
      </c>
      <c r="AH36" s="448" t="s">
        <v>33</v>
      </c>
      <c r="AI36" s="448">
        <f t="shared" ref="AI36" si="76">IF(F36=2025,K36,0)</f>
        <v>4.5097833280740725</v>
      </c>
      <c r="AJ36" s="448">
        <f>P36</f>
        <v>4.5097833280740725</v>
      </c>
      <c r="AK36" s="448" t="s">
        <v>33</v>
      </c>
      <c r="AL36" s="448" t="s">
        <v>33</v>
      </c>
      <c r="AM36" s="448">
        <f t="shared" si="74"/>
        <v>4.5097833280740725</v>
      </c>
      <c r="AN36" s="448">
        <f t="shared" si="72"/>
        <v>4.5097833280740725</v>
      </c>
      <c r="AO36" s="642"/>
    </row>
    <row r="37" spans="1:41" s="431" customFormat="1" outlineLevel="1" x14ac:dyDescent="0.25">
      <c r="A37" s="13" t="s">
        <v>1339</v>
      </c>
      <c r="B37" s="210" t="s">
        <v>621</v>
      </c>
      <c r="C37" s="201" t="s">
        <v>645</v>
      </c>
      <c r="D37" s="446" t="str">
        <f>Ф2!D37</f>
        <v>П</v>
      </c>
      <c r="E37" s="409">
        <f>Ф2!E37</f>
        <v>2026</v>
      </c>
      <c r="F37" s="409">
        <f>Ф2!F37</f>
        <v>2026</v>
      </c>
      <c r="G37" s="446" t="s">
        <v>33</v>
      </c>
      <c r="H37" s="448">
        <f>Ф2!H37/1.2</f>
        <v>4.0884958333333339</v>
      </c>
      <c r="I37" s="448">
        <f>Ф2!K37/1.2</f>
        <v>4.0884958333333339</v>
      </c>
      <c r="J37" s="448" t="s">
        <v>33</v>
      </c>
      <c r="K37" s="448">
        <f>SUM(L37:O37)</f>
        <v>5.0126545433529532</v>
      </c>
      <c r="L37" s="448" t="s">
        <v>33</v>
      </c>
      <c r="M37" s="448">
        <v>1.1297896497727842</v>
      </c>
      <c r="N37" s="448">
        <f>3.167*Ф17!E15*Ф17!F15*Ф17!G15*Ф17!H15*Ф17!I15</f>
        <v>3.8828648935801691</v>
      </c>
      <c r="O37" s="448" t="s">
        <v>33</v>
      </c>
      <c r="P37" s="448">
        <f>Ф2!S37/1.2</f>
        <v>5.0126545433529532</v>
      </c>
      <c r="Q37" s="448" t="s">
        <v>33</v>
      </c>
      <c r="R37" s="448">
        <f>M37</f>
        <v>1.1297896497727842</v>
      </c>
      <c r="S37" s="448">
        <f>N37</f>
        <v>3.8828648935801691</v>
      </c>
      <c r="T37" s="448" t="s">
        <v>33</v>
      </c>
      <c r="U37" s="448" t="s">
        <v>33</v>
      </c>
      <c r="V37" s="448" t="s">
        <v>33</v>
      </c>
      <c r="W37" s="448" t="s">
        <v>33</v>
      </c>
      <c r="X37" s="448" t="s">
        <v>33</v>
      </c>
      <c r="Y37" s="448" t="s">
        <v>33</v>
      </c>
      <c r="Z37" s="448" t="s">
        <v>33</v>
      </c>
      <c r="AA37" s="448" t="s">
        <v>33</v>
      </c>
      <c r="AB37" s="448" t="s">
        <v>33</v>
      </c>
      <c r="AC37" s="448" t="s">
        <v>33</v>
      </c>
      <c r="AD37" s="448" t="s">
        <v>33</v>
      </c>
      <c r="AE37" s="448" t="s">
        <v>33</v>
      </c>
      <c r="AF37" s="448" t="s">
        <v>33</v>
      </c>
      <c r="AG37" s="448" t="s">
        <v>33</v>
      </c>
      <c r="AH37" s="448" t="s">
        <v>33</v>
      </c>
      <c r="AI37" s="448" t="s">
        <v>33</v>
      </c>
      <c r="AJ37" s="448" t="s">
        <v>33</v>
      </c>
      <c r="AK37" s="448">
        <f t="shared" ref="AK37" si="77">IF(F37=2026,K37,0)</f>
        <v>5.0126545433529532</v>
      </c>
      <c r="AL37" s="448">
        <f>P37</f>
        <v>5.0126545433529532</v>
      </c>
      <c r="AM37" s="448">
        <f t="shared" si="74"/>
        <v>5.0126545433529532</v>
      </c>
      <c r="AN37" s="448">
        <f t="shared" si="72"/>
        <v>5.0126545433529532</v>
      </c>
      <c r="AO37" s="641"/>
    </row>
    <row r="38" spans="1:41" s="169" customFormat="1" x14ac:dyDescent="0.25">
      <c r="A38" s="18" t="s">
        <v>466</v>
      </c>
      <c r="B38" s="168" t="s">
        <v>467</v>
      </c>
      <c r="C38" s="453" t="str">
        <f>Ф2!C38</f>
        <v>нд</v>
      </c>
      <c r="D38" s="453" t="str">
        <f>Ф2!D38</f>
        <v>нд</v>
      </c>
      <c r="E38" s="453" t="str">
        <f>Ф2!E38</f>
        <v>нд</v>
      </c>
      <c r="F38" s="453" t="str">
        <f>Ф2!F38</f>
        <v>нд</v>
      </c>
      <c r="G38" s="453" t="str">
        <f>Ф2!G38</f>
        <v>нд</v>
      </c>
      <c r="H38" s="480">
        <f>SUM(H39:H41)</f>
        <v>9.7484027777777804</v>
      </c>
      <c r="I38" s="480">
        <f>SUM(I39:I41)</f>
        <v>13.145766666666667</v>
      </c>
      <c r="J38" s="481" t="str">
        <f>J39</f>
        <v>нд</v>
      </c>
      <c r="K38" s="480">
        <f>SUM(K39:K41)</f>
        <v>11.226335791234609</v>
      </c>
      <c r="L38" s="481" t="str">
        <f>L39</f>
        <v>нд</v>
      </c>
      <c r="M38" s="481" t="str">
        <f>M39</f>
        <v>нд</v>
      </c>
      <c r="N38" s="482">
        <f t="shared" ref="N38:AN38" si="78">SUM(N39:N41)</f>
        <v>11.226335791234609</v>
      </c>
      <c r="O38" s="481" t="str">
        <f>O39</f>
        <v>нд</v>
      </c>
      <c r="P38" s="482">
        <f t="shared" si="78"/>
        <v>14.284287900652526</v>
      </c>
      <c r="Q38" s="481" t="str">
        <f t="shared" ref="Q38:T38" si="79">Q39</f>
        <v>нд</v>
      </c>
      <c r="R38" s="481">
        <v>0</v>
      </c>
      <c r="S38" s="482">
        <f t="shared" si="78"/>
        <v>14.284287900652526</v>
      </c>
      <c r="T38" s="481" t="str">
        <f t="shared" si="79"/>
        <v>нд</v>
      </c>
      <c r="U38" s="481" t="str">
        <f t="shared" ref="U38" si="80">U39</f>
        <v>нд</v>
      </c>
      <c r="V38" s="481" t="str">
        <f t="shared" ref="V38" si="81">V39</f>
        <v>нд</v>
      </c>
      <c r="W38" s="481" t="str">
        <f t="shared" ref="W38" si="82">W39</f>
        <v>нд</v>
      </c>
      <c r="X38" s="481" t="str">
        <f t="shared" ref="X38:Y38" si="83">X39</f>
        <v>нд</v>
      </c>
      <c r="Y38" s="481" t="str">
        <f t="shared" si="83"/>
        <v>нд</v>
      </c>
      <c r="Z38" s="481" t="str">
        <f t="shared" ref="Z38" si="84">Z39</f>
        <v>нд</v>
      </c>
      <c r="AA38" s="481" t="str">
        <f t="shared" ref="AA38" si="85">AA39</f>
        <v>нд</v>
      </c>
      <c r="AB38" s="481" t="str">
        <f t="shared" ref="AB38" si="86">AB39</f>
        <v>нд</v>
      </c>
      <c r="AC38" s="481" t="str">
        <f t="shared" ref="AC38:AD38" si="87">AC39</f>
        <v>нд</v>
      </c>
      <c r="AD38" s="481" t="str">
        <f t="shared" si="87"/>
        <v>нд</v>
      </c>
      <c r="AE38" s="481" t="str">
        <f t="shared" ref="AE38" si="88">AE39</f>
        <v>нд</v>
      </c>
      <c r="AF38" s="481" t="str">
        <f>AF39</f>
        <v>нд</v>
      </c>
      <c r="AG38" s="480">
        <f t="shared" si="78"/>
        <v>6.215986690582084</v>
      </c>
      <c r="AH38" s="480">
        <f t="shared" si="78"/>
        <v>9.2739387999999998</v>
      </c>
      <c r="AI38" s="480">
        <f t="shared" si="78"/>
        <v>5.0103491006525251</v>
      </c>
      <c r="AJ38" s="480">
        <f t="shared" si="78"/>
        <v>5.0103491006525251</v>
      </c>
      <c r="AK38" s="481" t="str">
        <f t="shared" ref="AK38" si="89">AK39</f>
        <v>нд</v>
      </c>
      <c r="AL38" s="481" t="str">
        <f t="shared" ref="AL38" si="90">AL39</f>
        <v>нд</v>
      </c>
      <c r="AM38" s="480">
        <f t="shared" si="78"/>
        <v>11.226335791234609</v>
      </c>
      <c r="AN38" s="480">
        <f t="shared" si="78"/>
        <v>14.284287900652526</v>
      </c>
      <c r="AO38" s="454"/>
    </row>
    <row r="39" spans="1:41" s="389" customFormat="1" ht="19.5" customHeight="1" x14ac:dyDescent="0.25">
      <c r="A39" s="187" t="s">
        <v>468</v>
      </c>
      <c r="B39" s="399" t="s">
        <v>623</v>
      </c>
      <c r="C39" s="201" t="s">
        <v>1352</v>
      </c>
      <c r="D39" s="455" t="str">
        <f>Ф2!D39</f>
        <v>нд</v>
      </c>
      <c r="E39" s="409">
        <f>Ф2!E39</f>
        <v>2024</v>
      </c>
      <c r="F39" s="409">
        <f>Ф2!F39</f>
        <v>2024</v>
      </c>
      <c r="G39" s="409">
        <f>Ф2!G39</f>
        <v>2024</v>
      </c>
      <c r="H39" s="448">
        <f>Ф2!H39/1.2</f>
        <v>5.4942361111111122</v>
      </c>
      <c r="I39" s="448">
        <f>Ф2!K39/1.2</f>
        <v>5.6416000000000004</v>
      </c>
      <c r="J39" s="448" t="s">
        <v>33</v>
      </c>
      <c r="K39" s="448">
        <f>SUM(L39:O39)</f>
        <v>6.215986690582084</v>
      </c>
      <c r="L39" s="448" t="s">
        <v>33</v>
      </c>
      <c r="M39" s="448" t="s">
        <v>33</v>
      </c>
      <c r="N39" s="483">
        <f>Ф2!Q39/1.2</f>
        <v>6.215986690582084</v>
      </c>
      <c r="O39" s="448" t="s">
        <v>33</v>
      </c>
      <c r="P39" s="448">
        <f>Ф2!S39/1.2</f>
        <v>5.8841887999999996</v>
      </c>
      <c r="Q39" s="448" t="s">
        <v>33</v>
      </c>
      <c r="R39" s="448" t="s">
        <v>33</v>
      </c>
      <c r="S39" s="448">
        <f>P39</f>
        <v>5.8841887999999996</v>
      </c>
      <c r="T39" s="448" t="s">
        <v>33</v>
      </c>
      <c r="U39" s="448" t="s">
        <v>33</v>
      </c>
      <c r="V39" s="448" t="s">
        <v>33</v>
      </c>
      <c r="W39" s="448" t="s">
        <v>33</v>
      </c>
      <c r="X39" s="448" t="s">
        <v>33</v>
      </c>
      <c r="Y39" s="448" t="s">
        <v>33</v>
      </c>
      <c r="Z39" s="448" t="s">
        <v>33</v>
      </c>
      <c r="AA39" s="448" t="s">
        <v>33</v>
      </c>
      <c r="AB39" s="448" t="s">
        <v>33</v>
      </c>
      <c r="AC39" s="448" t="s">
        <v>33</v>
      </c>
      <c r="AD39" s="448" t="s">
        <v>33</v>
      </c>
      <c r="AE39" s="448" t="s">
        <v>33</v>
      </c>
      <c r="AF39" s="448" t="s">
        <v>33</v>
      </c>
      <c r="AG39" s="448">
        <f>K39</f>
        <v>6.215986690582084</v>
      </c>
      <c r="AH39" s="448">
        <f>P39</f>
        <v>5.8841887999999996</v>
      </c>
      <c r="AI39" s="448" t="s">
        <v>33</v>
      </c>
      <c r="AJ39" s="448" t="s">
        <v>33</v>
      </c>
      <c r="AK39" s="448" t="s">
        <v>33</v>
      </c>
      <c r="AL39" s="448" t="s">
        <v>33</v>
      </c>
      <c r="AM39" s="448">
        <f t="shared" si="74"/>
        <v>6.215986690582084</v>
      </c>
      <c r="AN39" s="448">
        <f t="shared" si="72"/>
        <v>5.8841887999999996</v>
      </c>
      <c r="AO39" s="614" t="s">
        <v>478</v>
      </c>
    </row>
    <row r="40" spans="1:41" s="389" customFormat="1" ht="19.5" customHeight="1" x14ac:dyDescent="0.25">
      <c r="A40" s="187" t="s">
        <v>622</v>
      </c>
      <c r="B40" s="237" t="s">
        <v>1337</v>
      </c>
      <c r="C40" s="201" t="s">
        <v>1353</v>
      </c>
      <c r="D40" s="455" t="str">
        <f>Ф2!D40</f>
        <v>нд</v>
      </c>
      <c r="E40" s="409">
        <f>Ф2!E40</f>
        <v>2024</v>
      </c>
      <c r="F40" s="409">
        <f>Ф2!F40</f>
        <v>2024</v>
      </c>
      <c r="G40" s="409">
        <f>Ф2!G40</f>
        <v>2024</v>
      </c>
      <c r="H40" s="448">
        <f>Ф2!H40/1.2</f>
        <v>0</v>
      </c>
      <c r="I40" s="448">
        <f>Ф2!K40/1.2</f>
        <v>3.25</v>
      </c>
      <c r="J40" s="448" t="s">
        <v>33</v>
      </c>
      <c r="K40" s="448" t="s">
        <v>33</v>
      </c>
      <c r="L40" s="448" t="s">
        <v>33</v>
      </c>
      <c r="M40" s="448" t="s">
        <v>33</v>
      </c>
      <c r="N40" s="448" t="s">
        <v>33</v>
      </c>
      <c r="O40" s="448" t="s">
        <v>33</v>
      </c>
      <c r="P40" s="448">
        <f>Ф2!S40/1.2</f>
        <v>3.3897499999999998</v>
      </c>
      <c r="Q40" s="448" t="s">
        <v>33</v>
      </c>
      <c r="R40" s="448" t="s">
        <v>33</v>
      </c>
      <c r="S40" s="448">
        <f t="shared" ref="S40:S41" si="91">P40</f>
        <v>3.3897499999999998</v>
      </c>
      <c r="T40" s="448" t="s">
        <v>33</v>
      </c>
      <c r="U40" s="448" t="s">
        <v>33</v>
      </c>
      <c r="V40" s="448" t="s">
        <v>33</v>
      </c>
      <c r="W40" s="448" t="s">
        <v>33</v>
      </c>
      <c r="X40" s="448" t="s">
        <v>33</v>
      </c>
      <c r="Y40" s="448" t="s">
        <v>33</v>
      </c>
      <c r="Z40" s="448" t="s">
        <v>33</v>
      </c>
      <c r="AA40" s="448" t="s">
        <v>33</v>
      </c>
      <c r="AB40" s="448" t="s">
        <v>33</v>
      </c>
      <c r="AC40" s="448" t="s">
        <v>33</v>
      </c>
      <c r="AD40" s="448" t="s">
        <v>33</v>
      </c>
      <c r="AE40" s="448" t="s">
        <v>33</v>
      </c>
      <c r="AF40" s="448" t="s">
        <v>33</v>
      </c>
      <c r="AG40" s="448" t="s">
        <v>33</v>
      </c>
      <c r="AH40" s="448">
        <f>P40</f>
        <v>3.3897499999999998</v>
      </c>
      <c r="AI40" s="448" t="s">
        <v>33</v>
      </c>
      <c r="AJ40" s="448" t="s">
        <v>33</v>
      </c>
      <c r="AK40" s="448" t="s">
        <v>33</v>
      </c>
      <c r="AL40" s="448" t="s">
        <v>33</v>
      </c>
      <c r="AM40" s="448" t="str">
        <f t="shared" si="74"/>
        <v>нд</v>
      </c>
      <c r="AN40" s="448">
        <f t="shared" si="72"/>
        <v>3.3897499999999998</v>
      </c>
      <c r="AO40" s="637"/>
    </row>
    <row r="41" spans="1:41" s="389" customFormat="1" ht="17.25" customHeight="1" x14ac:dyDescent="0.25">
      <c r="A41" s="187" t="s">
        <v>1335</v>
      </c>
      <c r="B41" s="399" t="s">
        <v>624</v>
      </c>
      <c r="C41" s="201" t="s">
        <v>646</v>
      </c>
      <c r="D41" s="455" t="str">
        <f>Ф2!D41</f>
        <v>нд</v>
      </c>
      <c r="E41" s="409">
        <f>Ф2!E41</f>
        <v>2025</v>
      </c>
      <c r="F41" s="409">
        <f>Ф2!F41</f>
        <v>2025</v>
      </c>
      <c r="G41" s="409" t="str">
        <f>Ф2!G41</f>
        <v>нд</v>
      </c>
      <c r="H41" s="448">
        <f>Ф2!H41/1.2</f>
        <v>4.2541666666666673</v>
      </c>
      <c r="I41" s="448">
        <f>Ф2!K41/1.2</f>
        <v>4.2541666666666673</v>
      </c>
      <c r="J41" s="448" t="s">
        <v>33</v>
      </c>
      <c r="K41" s="448">
        <f>SUM(L41:O41)</f>
        <v>5.0103491006525251</v>
      </c>
      <c r="L41" s="448" t="s">
        <v>33</v>
      </c>
      <c r="M41" s="448" t="s">
        <v>33</v>
      </c>
      <c r="N41" s="483">
        <f>Ф2!Q41/1.2</f>
        <v>5.0103491006525251</v>
      </c>
      <c r="O41" s="448" t="s">
        <v>33</v>
      </c>
      <c r="P41" s="448">
        <f>Ф2!S41/1.2</f>
        <v>5.0103491006525251</v>
      </c>
      <c r="Q41" s="448" t="s">
        <v>33</v>
      </c>
      <c r="R41" s="448" t="s">
        <v>33</v>
      </c>
      <c r="S41" s="448">
        <f t="shared" si="91"/>
        <v>5.0103491006525251</v>
      </c>
      <c r="T41" s="448" t="s">
        <v>33</v>
      </c>
      <c r="U41" s="448" t="s">
        <v>33</v>
      </c>
      <c r="V41" s="448" t="s">
        <v>33</v>
      </c>
      <c r="W41" s="448" t="s">
        <v>33</v>
      </c>
      <c r="X41" s="448" t="s">
        <v>33</v>
      </c>
      <c r="Y41" s="448" t="s">
        <v>33</v>
      </c>
      <c r="Z41" s="448" t="s">
        <v>33</v>
      </c>
      <c r="AA41" s="448" t="s">
        <v>33</v>
      </c>
      <c r="AB41" s="448" t="s">
        <v>33</v>
      </c>
      <c r="AC41" s="448" t="s">
        <v>33</v>
      </c>
      <c r="AD41" s="448" t="s">
        <v>33</v>
      </c>
      <c r="AE41" s="448" t="s">
        <v>33</v>
      </c>
      <c r="AF41" s="448" t="s">
        <v>33</v>
      </c>
      <c r="AG41" s="448" t="s">
        <v>33</v>
      </c>
      <c r="AH41" s="448" t="s">
        <v>33</v>
      </c>
      <c r="AI41" s="448">
        <f t="shared" ref="AI41" si="92">IF(F41=2025,K41,0)</f>
        <v>5.0103491006525251</v>
      </c>
      <c r="AJ41" s="448">
        <f>S41</f>
        <v>5.0103491006525251</v>
      </c>
      <c r="AK41" s="448" t="s">
        <v>33</v>
      </c>
      <c r="AL41" s="448" t="s">
        <v>33</v>
      </c>
      <c r="AM41" s="448">
        <f t="shared" si="74"/>
        <v>5.0103491006525251</v>
      </c>
      <c r="AN41" s="448">
        <f t="shared" si="72"/>
        <v>5.0103491006525251</v>
      </c>
      <c r="AO41" s="615"/>
    </row>
    <row r="44" spans="1:41" x14ac:dyDescent="0.25">
      <c r="B44" s="117" t="s">
        <v>52</v>
      </c>
      <c r="C44" s="390"/>
      <c r="D44" s="390"/>
      <c r="E44" s="390" t="s">
        <v>1325</v>
      </c>
    </row>
    <row r="45" spans="1:41" x14ac:dyDescent="0.25">
      <c r="B45" s="117"/>
      <c r="C45" s="390"/>
      <c r="D45" s="390"/>
      <c r="E45" s="390"/>
    </row>
    <row r="46" spans="1:41" x14ac:dyDescent="0.25">
      <c r="B46" s="117"/>
      <c r="C46" s="390"/>
      <c r="D46" s="390"/>
      <c r="E46" s="390"/>
    </row>
    <row r="49" spans="1:37" s="30" customFormat="1" x14ac:dyDescent="0.25">
      <c r="A49" s="633" t="s">
        <v>156</v>
      </c>
      <c r="B49" s="633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87"/>
      <c r="R49" s="417"/>
      <c r="S49" s="417"/>
      <c r="T49" s="417"/>
      <c r="U49" s="417"/>
      <c r="Y49" s="88"/>
      <c r="Z49" s="88"/>
      <c r="AA49" s="88"/>
      <c r="AB49" s="88"/>
      <c r="AC49" s="88"/>
      <c r="AD49" s="88"/>
      <c r="AE49" s="88"/>
      <c r="AF49" s="88"/>
      <c r="AG49" s="88"/>
      <c r="AI49" s="88"/>
      <c r="AK49" s="88"/>
    </row>
    <row r="50" spans="1:37" s="30" customFormat="1" x14ac:dyDescent="0.25">
      <c r="A50" s="616" t="s">
        <v>157</v>
      </c>
      <c r="B50" s="616"/>
      <c r="C50" s="616"/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  <c r="P50" s="616"/>
      <c r="Q50" s="89"/>
      <c r="R50" s="413"/>
      <c r="S50" s="413"/>
      <c r="T50" s="413"/>
      <c r="U50" s="413"/>
      <c r="Y50" s="88"/>
      <c r="Z50" s="88"/>
      <c r="AA50" s="88"/>
      <c r="AB50" s="88"/>
      <c r="AC50" s="88"/>
      <c r="AD50" s="88"/>
      <c r="AE50" s="88"/>
      <c r="AF50" s="88"/>
      <c r="AG50" s="88"/>
      <c r="AI50" s="88"/>
      <c r="AK50" s="88"/>
    </row>
    <row r="51" spans="1:37" s="30" customFormat="1" x14ac:dyDescent="0.25">
      <c r="A51" s="616" t="s">
        <v>158</v>
      </c>
      <c r="B51" s="616"/>
      <c r="C51" s="616"/>
      <c r="D51" s="616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6"/>
      <c r="P51" s="616"/>
      <c r="Q51" s="89"/>
      <c r="R51" s="413"/>
      <c r="S51" s="413"/>
      <c r="T51" s="413"/>
      <c r="U51" s="413"/>
      <c r="Y51" s="88"/>
      <c r="Z51" s="88"/>
      <c r="AA51" s="88"/>
      <c r="AB51" s="88"/>
      <c r="AC51" s="88"/>
      <c r="AD51" s="88"/>
      <c r="AE51" s="88"/>
      <c r="AF51" s="88"/>
      <c r="AG51" s="88"/>
      <c r="AI51" s="88"/>
      <c r="AK51" s="88"/>
    </row>
    <row r="52" spans="1:37" s="30" customFormat="1" x14ac:dyDescent="0.25">
      <c r="A52" s="616" t="s">
        <v>159</v>
      </c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89"/>
      <c r="R52" s="413"/>
      <c r="S52" s="413"/>
      <c r="T52" s="413"/>
      <c r="U52" s="413"/>
      <c r="Y52" s="88"/>
      <c r="Z52" s="88"/>
      <c r="AA52" s="88"/>
      <c r="AB52" s="88"/>
      <c r="AC52" s="88"/>
      <c r="AD52" s="88"/>
      <c r="AE52" s="88"/>
      <c r="AF52" s="88"/>
      <c r="AG52" s="88"/>
      <c r="AI52" s="88"/>
      <c r="AK52" s="88"/>
    </row>
    <row r="57" spans="1:37" x14ac:dyDescent="0.25">
      <c r="B57" s="434" t="s">
        <v>670</v>
      </c>
      <c r="C57" s="434" t="str">
        <f>IF(H15=Ф2!H15/1.2,"ОК","ОШИБКА")</f>
        <v>ОК</v>
      </c>
    </row>
    <row r="58" spans="1:37" x14ac:dyDescent="0.25">
      <c r="B58" s="434" t="s">
        <v>670</v>
      </c>
      <c r="C58" s="434" t="str">
        <f>IF(K15=Ф2!T15/1.2,"ОК","ОШИБКА")</f>
        <v>ОК</v>
      </c>
    </row>
  </sheetData>
  <mergeCells count="39">
    <mergeCell ref="A10:AN10"/>
    <mergeCell ref="H11:I12"/>
    <mergeCell ref="J11:J13"/>
    <mergeCell ref="K11:T11"/>
    <mergeCell ref="U11:Z11"/>
    <mergeCell ref="AA11:AB12"/>
    <mergeCell ref="AC11:AN11"/>
    <mergeCell ref="K12:O12"/>
    <mergeCell ref="P12:T12"/>
    <mergeCell ref="U12:V12"/>
    <mergeCell ref="F11:G12"/>
    <mergeCell ref="AN12:AN13"/>
    <mergeCell ref="W12:X12"/>
    <mergeCell ref="Y12:Z12"/>
    <mergeCell ref="AE12:AF12"/>
    <mergeCell ref="A50:P50"/>
    <mergeCell ref="A51:P51"/>
    <mergeCell ref="AK12:AL12"/>
    <mergeCell ref="AO26:AO27"/>
    <mergeCell ref="AM12:AM13"/>
    <mergeCell ref="AI12:AJ12"/>
    <mergeCell ref="AG12:AH12"/>
    <mergeCell ref="AO32:AO37"/>
    <mergeCell ref="B8:U8"/>
    <mergeCell ref="AO39:AO41"/>
    <mergeCell ref="A52:P52"/>
    <mergeCell ref="A1:AO1"/>
    <mergeCell ref="A3:AO3"/>
    <mergeCell ref="A4:AO4"/>
    <mergeCell ref="A6:AO6"/>
    <mergeCell ref="A9:AO9"/>
    <mergeCell ref="AO11:AO13"/>
    <mergeCell ref="A11:A13"/>
    <mergeCell ref="B11:B13"/>
    <mergeCell ref="C11:C13"/>
    <mergeCell ref="D11:D13"/>
    <mergeCell ref="E11:E13"/>
    <mergeCell ref="AC12:AD12"/>
    <mergeCell ref="A49:P49"/>
  </mergeCells>
  <pageMargins left="0.70866141732283472" right="0.70866141732283472" top="0.74803149606299213" bottom="0.74803149606299213" header="0.31496062992125984" footer="0.31496062992125984"/>
  <pageSetup paperSize="9" scale="39" fitToWidth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DZ58"/>
  <sheetViews>
    <sheetView topLeftCell="CH10" zoomScale="75" zoomScaleNormal="75" workbookViewId="0">
      <selection activeCell="B22" sqref="B22"/>
    </sheetView>
  </sheetViews>
  <sheetFormatPr defaultColWidth="8.85546875" defaultRowHeight="15.75" outlineLevelRow="1" outlineLevelCol="1" x14ac:dyDescent="0.25"/>
  <cols>
    <col min="1" max="1" width="10" style="457" customWidth="1"/>
    <col min="2" max="2" width="75.42578125" style="500" customWidth="1"/>
    <col min="3" max="3" width="10.7109375" style="500" customWidth="1"/>
    <col min="4" max="4" width="13.140625" style="500" bestFit="1" customWidth="1"/>
    <col min="5" max="5" width="13.28515625" style="499" customWidth="1"/>
    <col min="6" max="6" width="17.42578125" style="499" hidden="1" customWidth="1" outlineLevel="1"/>
    <col min="7" max="7" width="7.28515625" style="500" hidden="1" customWidth="1" outlineLevel="1"/>
    <col min="8" max="8" width="7.7109375" style="500" hidden="1" customWidth="1" outlineLevel="1"/>
    <col min="9" max="9" width="6.28515625" style="500" hidden="1" customWidth="1" outlineLevel="1"/>
    <col min="10" max="10" width="6.28515625" style="501" hidden="1" customWidth="1" outlineLevel="1"/>
    <col min="11" max="12" width="6.28515625" style="500" hidden="1" customWidth="1" outlineLevel="1"/>
    <col min="13" max="13" width="16.85546875" style="501" hidden="1" customWidth="1" outlineLevel="1"/>
    <col min="14" max="14" width="7.28515625" style="500" hidden="1" customWidth="1" outlineLevel="1"/>
    <col min="15" max="19" width="7.42578125" style="500" hidden="1" customWidth="1" outlineLevel="1"/>
    <col min="20" max="20" width="8.28515625" style="500" customWidth="1" collapsed="1"/>
    <col min="21" max="21" width="10.140625" style="500" customWidth="1"/>
    <col min="22" max="25" width="7.28515625" style="500" customWidth="1"/>
    <col min="26" max="26" width="8" style="500" customWidth="1"/>
    <col min="27" max="27" width="7.140625" style="500" customWidth="1"/>
    <col min="28" max="28" width="8" style="500" customWidth="1"/>
    <col min="29" max="29" width="9.7109375" style="500" customWidth="1"/>
    <col min="30" max="35" width="6.7109375" style="500" customWidth="1"/>
    <col min="36" max="36" width="8.28515625" style="500" customWidth="1"/>
    <col min="37" max="37" width="10.42578125" style="500" customWidth="1"/>
    <col min="38" max="38" width="9" style="500" customWidth="1"/>
    <col min="39" max="39" width="7" style="500" customWidth="1"/>
    <col min="40" max="40" width="9.85546875" style="500" customWidth="1"/>
    <col min="41" max="41" width="9.5703125" style="500" customWidth="1"/>
    <col min="42" max="42" width="7.140625" style="500" customWidth="1"/>
    <col min="43" max="43" width="6.28515625" style="500" bestFit="1" customWidth="1"/>
    <col min="44" max="44" width="7.85546875" style="500" customWidth="1"/>
    <col min="45" max="45" width="11" style="500" customWidth="1"/>
    <col min="46" max="46" width="9.7109375" style="500" bestFit="1" customWidth="1"/>
    <col min="47" max="47" width="6.28515625" style="500" bestFit="1" customWidth="1"/>
    <col min="48" max="48" width="9.7109375" style="500" bestFit="1" customWidth="1"/>
    <col min="49" max="49" width="6.28515625" style="500" bestFit="1" customWidth="1"/>
    <col min="50" max="50" width="7" style="500" customWidth="1"/>
    <col min="51" max="51" width="8.140625" style="500" customWidth="1"/>
    <col min="52" max="52" width="7.85546875" style="500" customWidth="1"/>
    <col min="53" max="53" width="10.28515625" style="500" customWidth="1"/>
    <col min="54" max="55" width="6.28515625" style="500" bestFit="1" customWidth="1"/>
    <col min="56" max="56" width="11" style="500" bestFit="1" customWidth="1"/>
    <col min="57" max="57" width="6.28515625" style="500" bestFit="1" customWidth="1"/>
    <col min="58" max="58" width="7.42578125" style="500" customWidth="1"/>
    <col min="59" max="59" width="7.140625" style="500" customWidth="1"/>
    <col min="60" max="60" width="8.42578125" style="500" customWidth="1"/>
    <col min="61" max="61" width="9.85546875" style="500" customWidth="1"/>
    <col min="62" max="62" width="6.28515625" style="500" bestFit="1" customWidth="1"/>
    <col min="63" max="63" width="6.7109375" style="500" customWidth="1"/>
    <col min="64" max="64" width="9.7109375" style="500" customWidth="1"/>
    <col min="65" max="65" width="6.28515625" style="500" bestFit="1" customWidth="1"/>
    <col min="66" max="66" width="6.28515625" style="500" customWidth="1"/>
    <col min="67" max="67" width="6.5703125" style="500" customWidth="1"/>
    <col min="68" max="68" width="7.7109375" style="500" customWidth="1"/>
    <col min="69" max="69" width="10.5703125" style="500" customWidth="1"/>
    <col min="70" max="70" width="9.7109375" style="500" bestFit="1" customWidth="1"/>
    <col min="71" max="71" width="6.28515625" style="500" bestFit="1" customWidth="1"/>
    <col min="72" max="72" width="9.85546875" style="500" customWidth="1"/>
    <col min="73" max="73" width="7.140625" style="500" customWidth="1"/>
    <col min="74" max="74" width="7.42578125" style="500" customWidth="1"/>
    <col min="75" max="75" width="8.7109375" style="500" bestFit="1" customWidth="1"/>
    <col min="76" max="76" width="8.28515625" style="500" customWidth="1"/>
    <col min="77" max="77" width="9.85546875" style="500" customWidth="1"/>
    <col min="78" max="78" width="9.7109375" style="500" bestFit="1" customWidth="1"/>
    <col min="79" max="79" width="8.5703125" style="500" bestFit="1" customWidth="1"/>
    <col min="80" max="80" width="9.5703125" style="500" customWidth="1"/>
    <col min="81" max="81" width="6.28515625" style="500" bestFit="1" customWidth="1"/>
    <col min="82" max="82" width="7" style="500" customWidth="1"/>
    <col min="83" max="83" width="6.28515625" style="500" bestFit="1" customWidth="1"/>
    <col min="84" max="84" width="8" style="500" customWidth="1"/>
    <col min="85" max="85" width="10.85546875" style="500" customWidth="1"/>
    <col min="86" max="87" width="6.28515625" style="500" bestFit="1" customWidth="1"/>
    <col min="88" max="88" width="8.42578125" style="500" bestFit="1" customWidth="1"/>
    <col min="89" max="89" width="6.28515625" style="500" bestFit="1" customWidth="1"/>
    <col min="90" max="90" width="7.140625" style="500" customWidth="1"/>
    <col min="91" max="91" width="6.28515625" style="500" bestFit="1" customWidth="1"/>
    <col min="92" max="92" width="8.140625" style="500" customWidth="1"/>
    <col min="93" max="93" width="10.5703125" style="500" customWidth="1"/>
    <col min="94" max="94" width="6.28515625" style="500" bestFit="1" customWidth="1"/>
    <col min="95" max="95" width="8.5703125" style="500" bestFit="1" customWidth="1"/>
    <col min="96" max="96" width="8.42578125" style="500" bestFit="1" customWidth="1"/>
    <col min="97" max="97" width="6.28515625" style="500" bestFit="1" customWidth="1"/>
    <col min="98" max="98" width="7.42578125" style="500" customWidth="1"/>
    <col min="99" max="99" width="6.28515625" style="500" bestFit="1" customWidth="1"/>
    <col min="100" max="100" width="7.85546875" style="500" customWidth="1"/>
    <col min="101" max="101" width="10.42578125" style="500" customWidth="1"/>
    <col min="102" max="102" width="9.7109375" style="500" customWidth="1"/>
    <col min="103" max="103" width="6.28515625" style="500" bestFit="1" customWidth="1"/>
    <col min="104" max="104" width="9.5703125" style="500" customWidth="1"/>
    <col min="105" max="105" width="7.28515625" style="500" customWidth="1"/>
    <col min="106" max="106" width="9" style="500" customWidth="1"/>
    <col min="107" max="107" width="9.140625" style="500" customWidth="1"/>
    <col min="108" max="108" width="8.42578125" style="500" customWidth="1"/>
    <col min="109" max="109" width="10.85546875" style="500" customWidth="1"/>
    <col min="110" max="110" width="10.42578125" style="500" customWidth="1"/>
    <col min="111" max="111" width="8.42578125" style="500" customWidth="1"/>
    <col min="112" max="112" width="10.42578125" style="500" customWidth="1"/>
    <col min="113" max="115" width="7.7109375" style="500" customWidth="1"/>
    <col min="116" max="16384" width="8.85546875" style="500"/>
  </cols>
  <sheetData>
    <row r="1" spans="1:130" s="30" customFormat="1" x14ac:dyDescent="0.25">
      <c r="A1" s="647" t="s">
        <v>175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</row>
    <row r="2" spans="1:130" s="30" customFormat="1" x14ac:dyDescent="0.25">
      <c r="A2" s="635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</row>
    <row r="3" spans="1:130" s="30" customFormat="1" ht="18.75" x14ac:dyDescent="0.25">
      <c r="A3" s="599" t="s">
        <v>75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</row>
    <row r="4" spans="1:130" s="30" customFormat="1" x14ac:dyDescent="0.25">
      <c r="A4" s="605" t="s">
        <v>76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</row>
    <row r="5" spans="1:130" s="30" customFormat="1" x14ac:dyDescent="0.25">
      <c r="A5" s="605"/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412"/>
      <c r="CZ5" s="412"/>
      <c r="DA5" s="412"/>
      <c r="DB5" s="412"/>
      <c r="DC5" s="412"/>
      <c r="DD5" s="412"/>
      <c r="DE5" s="412"/>
      <c r="DF5" s="412"/>
      <c r="DG5" s="412"/>
      <c r="DH5" s="412"/>
      <c r="DI5" s="412"/>
      <c r="DJ5" s="412"/>
      <c r="DK5" s="412"/>
      <c r="DL5" s="412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</row>
    <row r="6" spans="1:130" s="30" customFormat="1" x14ac:dyDescent="0.25">
      <c r="A6" s="600" t="s">
        <v>1369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</row>
    <row r="7" spans="1:130" s="30" customFormat="1" x14ac:dyDescent="0.25">
      <c r="A7" s="635"/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X7" s="107"/>
    </row>
    <row r="8" spans="1:130" s="30" customFormat="1" ht="18.75" x14ac:dyDescent="0.3">
      <c r="A8" s="610" t="s">
        <v>1346</v>
      </c>
      <c r="B8" s="610"/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0"/>
      <c r="AH8" s="610"/>
      <c r="AI8" s="610"/>
      <c r="AJ8" s="610"/>
      <c r="AK8" s="610"/>
      <c r="AL8" s="610"/>
      <c r="AM8" s="610"/>
      <c r="AN8" s="610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</row>
    <row r="9" spans="1:130" s="30" customFormat="1" x14ac:dyDescent="0.25">
      <c r="A9" s="648" t="s">
        <v>174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648"/>
      <c r="V9" s="648"/>
      <c r="W9" s="648"/>
      <c r="X9" s="648"/>
      <c r="Y9" s="648"/>
      <c r="Z9" s="648"/>
      <c r="AA9" s="648"/>
      <c r="AB9" s="648"/>
      <c r="AC9" s="648"/>
      <c r="AD9" s="648"/>
      <c r="AE9" s="648"/>
      <c r="AF9" s="648"/>
      <c r="AG9" s="648"/>
      <c r="AH9" s="648"/>
      <c r="AI9" s="648"/>
      <c r="AJ9" s="648"/>
      <c r="AK9" s="648"/>
      <c r="AL9" s="648"/>
      <c r="AM9" s="648"/>
      <c r="AN9" s="648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</row>
    <row r="10" spans="1:130" s="30" customFormat="1" x14ac:dyDescent="0.25">
      <c r="A10" s="652"/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652"/>
      <c r="AA10" s="652"/>
      <c r="AB10" s="652"/>
      <c r="AC10" s="652"/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652"/>
      <c r="AQ10" s="652"/>
      <c r="AR10" s="652"/>
      <c r="AS10" s="652"/>
      <c r="AT10" s="652"/>
      <c r="AU10" s="652"/>
      <c r="AV10" s="652"/>
      <c r="AW10" s="652"/>
      <c r="AX10" s="652"/>
      <c r="AY10" s="652"/>
      <c r="AZ10" s="652"/>
      <c r="BA10" s="652"/>
      <c r="BB10" s="652"/>
      <c r="BC10" s="652"/>
      <c r="BD10" s="652"/>
      <c r="BE10" s="652"/>
      <c r="BF10" s="652"/>
      <c r="BG10" s="652"/>
      <c r="BH10" s="652"/>
      <c r="BI10" s="652"/>
      <c r="BJ10" s="652"/>
      <c r="BK10" s="652"/>
      <c r="BL10" s="652"/>
      <c r="BM10" s="652"/>
      <c r="BN10" s="652"/>
      <c r="BO10" s="652"/>
      <c r="BP10" s="652"/>
      <c r="BQ10" s="652"/>
      <c r="BR10" s="652"/>
      <c r="BS10" s="652"/>
      <c r="BT10" s="652"/>
      <c r="BU10" s="652"/>
      <c r="BV10" s="652"/>
      <c r="BW10" s="652"/>
      <c r="BX10" s="652"/>
      <c r="BY10" s="652"/>
      <c r="BZ10" s="652"/>
      <c r="CA10" s="652"/>
      <c r="CB10" s="652"/>
      <c r="CC10" s="652"/>
      <c r="CD10" s="652"/>
      <c r="CE10" s="652"/>
      <c r="CF10" s="652"/>
      <c r="CG10" s="652"/>
      <c r="CH10" s="652"/>
      <c r="CI10" s="652"/>
      <c r="CJ10" s="652"/>
      <c r="CK10" s="652"/>
      <c r="CL10" s="652"/>
      <c r="CM10" s="652"/>
      <c r="CN10" s="652"/>
      <c r="CO10" s="652"/>
      <c r="CP10" s="652"/>
      <c r="CQ10" s="652"/>
      <c r="CR10" s="652"/>
      <c r="CS10" s="652"/>
      <c r="CT10" s="652"/>
      <c r="CU10" s="652"/>
      <c r="CV10" s="652"/>
      <c r="CW10" s="652"/>
      <c r="CX10" s="652"/>
      <c r="CY10" s="652"/>
      <c r="CZ10" s="652"/>
      <c r="DA10" s="652"/>
      <c r="DB10" s="652"/>
      <c r="DC10" s="652"/>
      <c r="DD10" s="652"/>
      <c r="DE10" s="652"/>
      <c r="DF10" s="652"/>
      <c r="DG10" s="652"/>
      <c r="DH10" s="652"/>
      <c r="DI10" s="652"/>
      <c r="DJ10" s="425"/>
      <c r="DK10" s="425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</row>
    <row r="11" spans="1:130" s="30" customFormat="1" x14ac:dyDescent="0.25">
      <c r="A11" s="651" t="s">
        <v>3</v>
      </c>
      <c r="B11" s="651" t="s">
        <v>4</v>
      </c>
      <c r="C11" s="651" t="s">
        <v>5</v>
      </c>
      <c r="D11" s="651" t="s">
        <v>176</v>
      </c>
      <c r="E11" s="651"/>
      <c r="F11" s="650" t="s">
        <v>177</v>
      </c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650"/>
      <c r="S11" s="650"/>
      <c r="T11" s="650" t="s">
        <v>178</v>
      </c>
      <c r="U11" s="650"/>
      <c r="V11" s="650"/>
      <c r="W11" s="650"/>
      <c r="X11" s="650"/>
      <c r="Y11" s="650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0"/>
      <c r="AT11" s="650"/>
      <c r="AU11" s="650"/>
      <c r="AV11" s="650"/>
      <c r="AW11" s="650"/>
      <c r="AX11" s="650"/>
      <c r="AY11" s="650"/>
      <c r="AZ11" s="650"/>
      <c r="BA11" s="650"/>
      <c r="BB11" s="650"/>
      <c r="BC11" s="650"/>
      <c r="BD11" s="650"/>
      <c r="BE11" s="650"/>
      <c r="BF11" s="650"/>
      <c r="BG11" s="650"/>
      <c r="BH11" s="650"/>
      <c r="BI11" s="650"/>
      <c r="BJ11" s="650"/>
      <c r="BK11" s="650"/>
      <c r="BL11" s="650"/>
      <c r="BM11" s="650"/>
      <c r="BN11" s="650"/>
      <c r="BO11" s="650"/>
      <c r="BP11" s="650"/>
      <c r="BQ11" s="650"/>
      <c r="BR11" s="650"/>
      <c r="BS11" s="650"/>
      <c r="BT11" s="650"/>
      <c r="BU11" s="650"/>
      <c r="BV11" s="650"/>
      <c r="BW11" s="650"/>
      <c r="BX11" s="650"/>
      <c r="BY11" s="650"/>
      <c r="BZ11" s="650"/>
      <c r="CA11" s="650"/>
      <c r="CB11" s="650"/>
      <c r="CC11" s="650"/>
      <c r="CD11" s="650"/>
      <c r="CE11" s="650"/>
      <c r="CF11" s="650"/>
      <c r="CG11" s="650"/>
      <c r="CH11" s="650"/>
      <c r="CI11" s="650"/>
      <c r="CJ11" s="650"/>
      <c r="CK11" s="650"/>
      <c r="CL11" s="650"/>
      <c r="CM11" s="650"/>
      <c r="CN11" s="650"/>
      <c r="CO11" s="650"/>
      <c r="CP11" s="650"/>
      <c r="CQ11" s="650"/>
      <c r="CR11" s="650"/>
      <c r="CS11" s="650"/>
      <c r="CT11" s="650"/>
      <c r="CU11" s="650"/>
      <c r="CV11" s="650"/>
      <c r="CW11" s="650"/>
      <c r="CX11" s="650"/>
      <c r="CY11" s="650"/>
      <c r="CZ11" s="650"/>
      <c r="DA11" s="650"/>
      <c r="DB11" s="650"/>
      <c r="DC11" s="650"/>
      <c r="DD11" s="650"/>
      <c r="DE11" s="650"/>
      <c r="DF11" s="650"/>
      <c r="DG11" s="650"/>
      <c r="DH11" s="650"/>
      <c r="DI11" s="650"/>
      <c r="DJ11" s="650"/>
      <c r="DK11" s="650"/>
      <c r="DL11" s="651" t="s">
        <v>133</v>
      </c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</row>
    <row r="12" spans="1:130" s="30" customFormat="1" x14ac:dyDescent="0.25">
      <c r="A12" s="651"/>
      <c r="B12" s="651"/>
      <c r="C12" s="651"/>
      <c r="D12" s="651"/>
      <c r="E12" s="651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 t="s">
        <v>671</v>
      </c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 t="s">
        <v>672</v>
      </c>
      <c r="AK12" s="650"/>
      <c r="AL12" s="650"/>
      <c r="AM12" s="650"/>
      <c r="AN12" s="650"/>
      <c r="AO12" s="650"/>
      <c r="AP12" s="650"/>
      <c r="AQ12" s="650"/>
      <c r="AR12" s="650"/>
      <c r="AS12" s="650"/>
      <c r="AT12" s="650"/>
      <c r="AU12" s="650"/>
      <c r="AV12" s="650"/>
      <c r="AW12" s="650"/>
      <c r="AX12" s="650"/>
      <c r="AY12" s="650"/>
      <c r="AZ12" s="650" t="s">
        <v>673</v>
      </c>
      <c r="BA12" s="650"/>
      <c r="BB12" s="650"/>
      <c r="BC12" s="650"/>
      <c r="BD12" s="650"/>
      <c r="BE12" s="650"/>
      <c r="BF12" s="650"/>
      <c r="BG12" s="650"/>
      <c r="BH12" s="650"/>
      <c r="BI12" s="650"/>
      <c r="BJ12" s="650"/>
      <c r="BK12" s="650"/>
      <c r="BL12" s="650"/>
      <c r="BM12" s="650"/>
      <c r="BN12" s="650"/>
      <c r="BO12" s="650"/>
      <c r="BP12" s="650" t="s">
        <v>674</v>
      </c>
      <c r="BQ12" s="650"/>
      <c r="BR12" s="650"/>
      <c r="BS12" s="650"/>
      <c r="BT12" s="650"/>
      <c r="BU12" s="650"/>
      <c r="BV12" s="650"/>
      <c r="BW12" s="650"/>
      <c r="BX12" s="650"/>
      <c r="BY12" s="650"/>
      <c r="BZ12" s="650"/>
      <c r="CA12" s="650"/>
      <c r="CB12" s="650"/>
      <c r="CC12" s="650"/>
      <c r="CD12" s="650"/>
      <c r="CE12" s="650"/>
      <c r="CF12" s="650" t="s">
        <v>675</v>
      </c>
      <c r="CG12" s="650"/>
      <c r="CH12" s="650"/>
      <c r="CI12" s="650"/>
      <c r="CJ12" s="650"/>
      <c r="CK12" s="650"/>
      <c r="CL12" s="650"/>
      <c r="CM12" s="650"/>
      <c r="CN12" s="650"/>
      <c r="CO12" s="650"/>
      <c r="CP12" s="650"/>
      <c r="CQ12" s="650"/>
      <c r="CR12" s="650"/>
      <c r="CS12" s="650"/>
      <c r="CT12" s="650"/>
      <c r="CU12" s="650"/>
      <c r="CV12" s="651" t="s">
        <v>179</v>
      </c>
      <c r="CW12" s="651"/>
      <c r="CX12" s="651"/>
      <c r="CY12" s="651"/>
      <c r="CZ12" s="651"/>
      <c r="DA12" s="651"/>
      <c r="DB12" s="651"/>
      <c r="DC12" s="651"/>
      <c r="DD12" s="651"/>
      <c r="DE12" s="651"/>
      <c r="DF12" s="651"/>
      <c r="DG12" s="651"/>
      <c r="DH12" s="651"/>
      <c r="DI12" s="651"/>
      <c r="DJ12" s="651"/>
      <c r="DK12" s="651"/>
      <c r="DL12" s="651"/>
    </row>
    <row r="13" spans="1:130" s="30" customFormat="1" ht="57" customHeight="1" x14ac:dyDescent="0.25">
      <c r="A13" s="651"/>
      <c r="B13" s="651"/>
      <c r="C13" s="651"/>
      <c r="D13" s="651"/>
      <c r="E13" s="651"/>
      <c r="F13" s="650" t="s">
        <v>470</v>
      </c>
      <c r="G13" s="650"/>
      <c r="H13" s="650"/>
      <c r="I13" s="650"/>
      <c r="J13" s="650"/>
      <c r="K13" s="650"/>
      <c r="L13" s="650"/>
      <c r="M13" s="651" t="s">
        <v>87</v>
      </c>
      <c r="N13" s="651"/>
      <c r="O13" s="651"/>
      <c r="P13" s="651"/>
      <c r="Q13" s="651"/>
      <c r="R13" s="651"/>
      <c r="S13" s="651"/>
      <c r="T13" s="650" t="s">
        <v>469</v>
      </c>
      <c r="U13" s="650"/>
      <c r="V13" s="650"/>
      <c r="W13" s="650"/>
      <c r="X13" s="650"/>
      <c r="Y13" s="650"/>
      <c r="Z13" s="650"/>
      <c r="AA13" s="650"/>
      <c r="AB13" s="651" t="s">
        <v>87</v>
      </c>
      <c r="AC13" s="651"/>
      <c r="AD13" s="651"/>
      <c r="AE13" s="651"/>
      <c r="AF13" s="651"/>
      <c r="AG13" s="651"/>
      <c r="AH13" s="651"/>
      <c r="AI13" s="651"/>
      <c r="AJ13" s="650" t="s">
        <v>469</v>
      </c>
      <c r="AK13" s="650"/>
      <c r="AL13" s="650"/>
      <c r="AM13" s="650"/>
      <c r="AN13" s="650"/>
      <c r="AO13" s="650"/>
      <c r="AP13" s="650"/>
      <c r="AQ13" s="650"/>
      <c r="AR13" s="651" t="s">
        <v>87</v>
      </c>
      <c r="AS13" s="651"/>
      <c r="AT13" s="651"/>
      <c r="AU13" s="651"/>
      <c r="AV13" s="651"/>
      <c r="AW13" s="651"/>
      <c r="AX13" s="651"/>
      <c r="AY13" s="651"/>
      <c r="AZ13" s="650" t="s">
        <v>469</v>
      </c>
      <c r="BA13" s="650"/>
      <c r="BB13" s="650"/>
      <c r="BC13" s="650"/>
      <c r="BD13" s="650"/>
      <c r="BE13" s="650"/>
      <c r="BF13" s="650"/>
      <c r="BG13" s="650"/>
      <c r="BH13" s="651" t="s">
        <v>87</v>
      </c>
      <c r="BI13" s="651"/>
      <c r="BJ13" s="651"/>
      <c r="BK13" s="651"/>
      <c r="BL13" s="651"/>
      <c r="BM13" s="651"/>
      <c r="BN13" s="651"/>
      <c r="BO13" s="651"/>
      <c r="BP13" s="650" t="s">
        <v>469</v>
      </c>
      <c r="BQ13" s="650"/>
      <c r="BR13" s="650"/>
      <c r="BS13" s="650"/>
      <c r="BT13" s="650"/>
      <c r="BU13" s="650"/>
      <c r="BV13" s="650"/>
      <c r="BW13" s="650"/>
      <c r="BX13" s="651" t="s">
        <v>87</v>
      </c>
      <c r="BY13" s="651"/>
      <c r="BZ13" s="651"/>
      <c r="CA13" s="651"/>
      <c r="CB13" s="651"/>
      <c r="CC13" s="651"/>
      <c r="CD13" s="651"/>
      <c r="CE13" s="651"/>
      <c r="CF13" s="650" t="s">
        <v>469</v>
      </c>
      <c r="CG13" s="650"/>
      <c r="CH13" s="650"/>
      <c r="CI13" s="650"/>
      <c r="CJ13" s="650"/>
      <c r="CK13" s="650"/>
      <c r="CL13" s="650"/>
      <c r="CM13" s="650"/>
      <c r="CN13" s="651" t="s">
        <v>87</v>
      </c>
      <c r="CO13" s="651"/>
      <c r="CP13" s="651"/>
      <c r="CQ13" s="651"/>
      <c r="CR13" s="651"/>
      <c r="CS13" s="651"/>
      <c r="CT13" s="651"/>
      <c r="CU13" s="651"/>
      <c r="CV13" s="650" t="s">
        <v>469</v>
      </c>
      <c r="CW13" s="650"/>
      <c r="CX13" s="650"/>
      <c r="CY13" s="650"/>
      <c r="CZ13" s="650"/>
      <c r="DA13" s="650"/>
      <c r="DB13" s="650"/>
      <c r="DC13" s="650"/>
      <c r="DD13" s="651" t="s">
        <v>87</v>
      </c>
      <c r="DE13" s="651"/>
      <c r="DF13" s="651"/>
      <c r="DG13" s="651"/>
      <c r="DH13" s="651"/>
      <c r="DI13" s="651"/>
      <c r="DJ13" s="651"/>
      <c r="DK13" s="651"/>
      <c r="DL13" s="651"/>
    </row>
    <row r="14" spans="1:130" s="30" customFormat="1" ht="63.75" customHeight="1" x14ac:dyDescent="0.25">
      <c r="A14" s="651"/>
      <c r="B14" s="651"/>
      <c r="C14" s="651"/>
      <c r="D14" s="649" t="s">
        <v>469</v>
      </c>
      <c r="E14" s="649" t="s">
        <v>180</v>
      </c>
      <c r="F14" s="422" t="s">
        <v>181</v>
      </c>
      <c r="G14" s="650" t="s">
        <v>182</v>
      </c>
      <c r="H14" s="650"/>
      <c r="I14" s="650"/>
      <c r="J14" s="650"/>
      <c r="K14" s="650"/>
      <c r="L14" s="650"/>
      <c r="M14" s="422" t="s">
        <v>181</v>
      </c>
      <c r="N14" s="650" t="s">
        <v>182</v>
      </c>
      <c r="O14" s="650"/>
      <c r="P14" s="650"/>
      <c r="Q14" s="650"/>
      <c r="R14" s="650"/>
      <c r="S14" s="650"/>
      <c r="T14" s="422" t="s">
        <v>181</v>
      </c>
      <c r="U14" s="650" t="s">
        <v>182</v>
      </c>
      <c r="V14" s="650"/>
      <c r="W14" s="650"/>
      <c r="X14" s="650"/>
      <c r="Y14" s="650"/>
      <c r="Z14" s="650"/>
      <c r="AA14" s="650"/>
      <c r="AB14" s="422" t="s">
        <v>181</v>
      </c>
      <c r="AC14" s="650" t="s">
        <v>182</v>
      </c>
      <c r="AD14" s="650"/>
      <c r="AE14" s="650"/>
      <c r="AF14" s="650"/>
      <c r="AG14" s="650"/>
      <c r="AH14" s="650"/>
      <c r="AI14" s="650"/>
      <c r="AJ14" s="422" t="s">
        <v>181</v>
      </c>
      <c r="AK14" s="650" t="s">
        <v>182</v>
      </c>
      <c r="AL14" s="650"/>
      <c r="AM14" s="650"/>
      <c r="AN14" s="650"/>
      <c r="AO14" s="650"/>
      <c r="AP14" s="650"/>
      <c r="AQ14" s="650"/>
      <c r="AR14" s="422" t="s">
        <v>181</v>
      </c>
      <c r="AS14" s="650" t="s">
        <v>182</v>
      </c>
      <c r="AT14" s="650"/>
      <c r="AU14" s="650"/>
      <c r="AV14" s="650"/>
      <c r="AW14" s="650"/>
      <c r="AX14" s="650"/>
      <c r="AY14" s="650"/>
      <c r="AZ14" s="422" t="s">
        <v>181</v>
      </c>
      <c r="BA14" s="650" t="s">
        <v>182</v>
      </c>
      <c r="BB14" s="650"/>
      <c r="BC14" s="650"/>
      <c r="BD14" s="650"/>
      <c r="BE14" s="650"/>
      <c r="BF14" s="650"/>
      <c r="BG14" s="650"/>
      <c r="BH14" s="422" t="s">
        <v>181</v>
      </c>
      <c r="BI14" s="650" t="s">
        <v>182</v>
      </c>
      <c r="BJ14" s="650"/>
      <c r="BK14" s="650"/>
      <c r="BL14" s="650"/>
      <c r="BM14" s="650"/>
      <c r="BN14" s="650"/>
      <c r="BO14" s="650"/>
      <c r="BP14" s="422" t="s">
        <v>181</v>
      </c>
      <c r="BQ14" s="650" t="s">
        <v>182</v>
      </c>
      <c r="BR14" s="650"/>
      <c r="BS14" s="650"/>
      <c r="BT14" s="650"/>
      <c r="BU14" s="650"/>
      <c r="BV14" s="650"/>
      <c r="BW14" s="650"/>
      <c r="BX14" s="422" t="s">
        <v>181</v>
      </c>
      <c r="BY14" s="650" t="s">
        <v>182</v>
      </c>
      <c r="BZ14" s="650"/>
      <c r="CA14" s="650"/>
      <c r="CB14" s="650"/>
      <c r="CC14" s="650"/>
      <c r="CD14" s="650"/>
      <c r="CE14" s="650"/>
      <c r="CF14" s="422" t="s">
        <v>181</v>
      </c>
      <c r="CG14" s="650" t="s">
        <v>182</v>
      </c>
      <c r="CH14" s="650"/>
      <c r="CI14" s="650"/>
      <c r="CJ14" s="650"/>
      <c r="CK14" s="650"/>
      <c r="CL14" s="650"/>
      <c r="CM14" s="650"/>
      <c r="CN14" s="422" t="s">
        <v>181</v>
      </c>
      <c r="CO14" s="650" t="s">
        <v>182</v>
      </c>
      <c r="CP14" s="650"/>
      <c r="CQ14" s="650"/>
      <c r="CR14" s="650"/>
      <c r="CS14" s="650"/>
      <c r="CT14" s="650"/>
      <c r="CU14" s="650"/>
      <c r="CV14" s="422" t="s">
        <v>181</v>
      </c>
      <c r="CW14" s="650" t="s">
        <v>182</v>
      </c>
      <c r="CX14" s="650"/>
      <c r="CY14" s="650"/>
      <c r="CZ14" s="650"/>
      <c r="DA14" s="650"/>
      <c r="DB14" s="650"/>
      <c r="DC14" s="650"/>
      <c r="DD14" s="422" t="s">
        <v>181</v>
      </c>
      <c r="DE14" s="650" t="s">
        <v>182</v>
      </c>
      <c r="DF14" s="650"/>
      <c r="DG14" s="650"/>
      <c r="DH14" s="650"/>
      <c r="DI14" s="650"/>
      <c r="DJ14" s="650"/>
      <c r="DK14" s="650"/>
      <c r="DL14" s="651"/>
    </row>
    <row r="15" spans="1:130" s="30" customFormat="1" ht="120" x14ac:dyDescent="0.25">
      <c r="A15" s="651"/>
      <c r="B15" s="651"/>
      <c r="C15" s="651"/>
      <c r="D15" s="649"/>
      <c r="E15" s="649"/>
      <c r="F15" s="420" t="s">
        <v>183</v>
      </c>
      <c r="G15" s="420" t="s">
        <v>183</v>
      </c>
      <c r="H15" s="423" t="s">
        <v>184</v>
      </c>
      <c r="I15" s="423" t="s">
        <v>185</v>
      </c>
      <c r="J15" s="423" t="s">
        <v>186</v>
      </c>
      <c r="K15" s="423" t="s">
        <v>187</v>
      </c>
      <c r="L15" s="423" t="s">
        <v>188</v>
      </c>
      <c r="M15" s="420" t="s">
        <v>183</v>
      </c>
      <c r="N15" s="420" t="s">
        <v>183</v>
      </c>
      <c r="O15" s="423" t="s">
        <v>184</v>
      </c>
      <c r="P15" s="423" t="s">
        <v>185</v>
      </c>
      <c r="Q15" s="423" t="s">
        <v>186</v>
      </c>
      <c r="R15" s="423" t="s">
        <v>187</v>
      </c>
      <c r="S15" s="423" t="s">
        <v>188</v>
      </c>
      <c r="T15" s="420" t="s">
        <v>183</v>
      </c>
      <c r="U15" s="420" t="s">
        <v>183</v>
      </c>
      <c r="V15" s="423" t="s">
        <v>184</v>
      </c>
      <c r="W15" s="423" t="s">
        <v>185</v>
      </c>
      <c r="X15" s="423" t="s">
        <v>186</v>
      </c>
      <c r="Y15" s="423" t="s">
        <v>187</v>
      </c>
      <c r="Z15" s="423" t="s">
        <v>506</v>
      </c>
      <c r="AA15" s="423" t="s">
        <v>507</v>
      </c>
      <c r="AB15" s="420" t="s">
        <v>183</v>
      </c>
      <c r="AC15" s="420" t="s">
        <v>183</v>
      </c>
      <c r="AD15" s="423" t="s">
        <v>184</v>
      </c>
      <c r="AE15" s="423" t="s">
        <v>185</v>
      </c>
      <c r="AF15" s="423" t="s">
        <v>186</v>
      </c>
      <c r="AG15" s="423" t="s">
        <v>187</v>
      </c>
      <c r="AH15" s="423" t="s">
        <v>506</v>
      </c>
      <c r="AI15" s="423" t="s">
        <v>507</v>
      </c>
      <c r="AJ15" s="420" t="s">
        <v>183</v>
      </c>
      <c r="AK15" s="420" t="s">
        <v>183</v>
      </c>
      <c r="AL15" s="423" t="s">
        <v>184</v>
      </c>
      <c r="AM15" s="423" t="s">
        <v>185</v>
      </c>
      <c r="AN15" s="423" t="s">
        <v>186</v>
      </c>
      <c r="AO15" s="423" t="s">
        <v>187</v>
      </c>
      <c r="AP15" s="423" t="s">
        <v>506</v>
      </c>
      <c r="AQ15" s="423" t="s">
        <v>507</v>
      </c>
      <c r="AR15" s="420" t="s">
        <v>183</v>
      </c>
      <c r="AS15" s="420" t="s">
        <v>183</v>
      </c>
      <c r="AT15" s="423" t="s">
        <v>184</v>
      </c>
      <c r="AU15" s="423" t="s">
        <v>185</v>
      </c>
      <c r="AV15" s="423" t="s">
        <v>186</v>
      </c>
      <c r="AW15" s="423" t="s">
        <v>187</v>
      </c>
      <c r="AX15" s="423" t="s">
        <v>506</v>
      </c>
      <c r="AY15" s="423" t="s">
        <v>507</v>
      </c>
      <c r="AZ15" s="420" t="s">
        <v>183</v>
      </c>
      <c r="BA15" s="420" t="s">
        <v>183</v>
      </c>
      <c r="BB15" s="423" t="s">
        <v>184</v>
      </c>
      <c r="BC15" s="423" t="s">
        <v>185</v>
      </c>
      <c r="BD15" s="423" t="s">
        <v>186</v>
      </c>
      <c r="BE15" s="423" t="s">
        <v>187</v>
      </c>
      <c r="BF15" s="423" t="s">
        <v>506</v>
      </c>
      <c r="BG15" s="423" t="s">
        <v>507</v>
      </c>
      <c r="BH15" s="420" t="s">
        <v>183</v>
      </c>
      <c r="BI15" s="420" t="s">
        <v>183</v>
      </c>
      <c r="BJ15" s="423" t="s">
        <v>184</v>
      </c>
      <c r="BK15" s="423" t="s">
        <v>185</v>
      </c>
      <c r="BL15" s="423" t="s">
        <v>186</v>
      </c>
      <c r="BM15" s="423" t="s">
        <v>187</v>
      </c>
      <c r="BN15" s="423" t="s">
        <v>506</v>
      </c>
      <c r="BO15" s="423" t="s">
        <v>507</v>
      </c>
      <c r="BP15" s="420" t="s">
        <v>183</v>
      </c>
      <c r="BQ15" s="420" t="s">
        <v>183</v>
      </c>
      <c r="BR15" s="423" t="s">
        <v>184</v>
      </c>
      <c r="BS15" s="423" t="s">
        <v>185</v>
      </c>
      <c r="BT15" s="423" t="s">
        <v>186</v>
      </c>
      <c r="BU15" s="423" t="s">
        <v>187</v>
      </c>
      <c r="BV15" s="423" t="s">
        <v>506</v>
      </c>
      <c r="BW15" s="423" t="s">
        <v>507</v>
      </c>
      <c r="BX15" s="420" t="s">
        <v>183</v>
      </c>
      <c r="BY15" s="420" t="s">
        <v>183</v>
      </c>
      <c r="BZ15" s="423" t="s">
        <v>184</v>
      </c>
      <c r="CA15" s="423" t="s">
        <v>185</v>
      </c>
      <c r="CB15" s="423" t="s">
        <v>186</v>
      </c>
      <c r="CC15" s="423" t="s">
        <v>187</v>
      </c>
      <c r="CD15" s="423" t="s">
        <v>506</v>
      </c>
      <c r="CE15" s="423" t="s">
        <v>507</v>
      </c>
      <c r="CF15" s="420" t="s">
        <v>183</v>
      </c>
      <c r="CG15" s="420" t="s">
        <v>183</v>
      </c>
      <c r="CH15" s="423" t="s">
        <v>184</v>
      </c>
      <c r="CI15" s="423" t="s">
        <v>185</v>
      </c>
      <c r="CJ15" s="423" t="s">
        <v>186</v>
      </c>
      <c r="CK15" s="423" t="s">
        <v>187</v>
      </c>
      <c r="CL15" s="423" t="s">
        <v>506</v>
      </c>
      <c r="CM15" s="423" t="s">
        <v>507</v>
      </c>
      <c r="CN15" s="420" t="s">
        <v>183</v>
      </c>
      <c r="CO15" s="420" t="s">
        <v>183</v>
      </c>
      <c r="CP15" s="423" t="s">
        <v>184</v>
      </c>
      <c r="CQ15" s="423" t="s">
        <v>185</v>
      </c>
      <c r="CR15" s="423" t="s">
        <v>186</v>
      </c>
      <c r="CS15" s="423" t="s">
        <v>187</v>
      </c>
      <c r="CT15" s="423" t="s">
        <v>506</v>
      </c>
      <c r="CU15" s="423" t="s">
        <v>507</v>
      </c>
      <c r="CV15" s="420" t="s">
        <v>183</v>
      </c>
      <c r="CW15" s="420" t="s">
        <v>183</v>
      </c>
      <c r="CX15" s="423" t="s">
        <v>184</v>
      </c>
      <c r="CY15" s="423" t="s">
        <v>185</v>
      </c>
      <c r="CZ15" s="423" t="s">
        <v>186</v>
      </c>
      <c r="DA15" s="423" t="s">
        <v>187</v>
      </c>
      <c r="DB15" s="423" t="s">
        <v>506</v>
      </c>
      <c r="DC15" s="423" t="s">
        <v>507</v>
      </c>
      <c r="DD15" s="420" t="s">
        <v>183</v>
      </c>
      <c r="DE15" s="420" t="s">
        <v>183</v>
      </c>
      <c r="DF15" s="423" t="s">
        <v>184</v>
      </c>
      <c r="DG15" s="423" t="s">
        <v>185</v>
      </c>
      <c r="DH15" s="423" t="s">
        <v>186</v>
      </c>
      <c r="DI15" s="423" t="s">
        <v>187</v>
      </c>
      <c r="DJ15" s="423" t="s">
        <v>506</v>
      </c>
      <c r="DK15" s="423" t="s">
        <v>507</v>
      </c>
      <c r="DL15" s="651"/>
    </row>
    <row r="16" spans="1:130" s="30" customFormat="1" x14ac:dyDescent="0.25">
      <c r="A16" s="421">
        <v>1</v>
      </c>
      <c r="B16" s="421">
        <v>2</v>
      </c>
      <c r="C16" s="421">
        <v>3</v>
      </c>
      <c r="D16" s="421">
        <v>4</v>
      </c>
      <c r="E16" s="421">
        <v>5</v>
      </c>
      <c r="F16" s="116" t="s">
        <v>189</v>
      </c>
      <c r="G16" s="116" t="s">
        <v>190</v>
      </c>
      <c r="H16" s="116" t="s">
        <v>191</v>
      </c>
      <c r="I16" s="116" t="s">
        <v>192</v>
      </c>
      <c r="J16" s="116" t="s">
        <v>193</v>
      </c>
      <c r="K16" s="116" t="s">
        <v>194</v>
      </c>
      <c r="L16" s="116" t="s">
        <v>195</v>
      </c>
      <c r="M16" s="116" t="s">
        <v>196</v>
      </c>
      <c r="N16" s="116" t="s">
        <v>197</v>
      </c>
      <c r="O16" s="116" t="s">
        <v>198</v>
      </c>
      <c r="P16" s="116" t="s">
        <v>199</v>
      </c>
      <c r="Q16" s="116" t="s">
        <v>200</v>
      </c>
      <c r="R16" s="116" t="s">
        <v>201</v>
      </c>
      <c r="S16" s="116" t="s">
        <v>202</v>
      </c>
      <c r="T16" s="116" t="s">
        <v>203</v>
      </c>
      <c r="U16" s="116" t="s">
        <v>204</v>
      </c>
      <c r="V16" s="116" t="s">
        <v>205</v>
      </c>
      <c r="W16" s="116" t="s">
        <v>206</v>
      </c>
      <c r="X16" s="116" t="s">
        <v>207</v>
      </c>
      <c r="Y16" s="116" t="s">
        <v>208</v>
      </c>
      <c r="Z16" s="116" t="s">
        <v>209</v>
      </c>
      <c r="AA16" s="116" t="s">
        <v>508</v>
      </c>
      <c r="AB16" s="116" t="s">
        <v>210</v>
      </c>
      <c r="AC16" s="116" t="s">
        <v>211</v>
      </c>
      <c r="AD16" s="116" t="s">
        <v>212</v>
      </c>
      <c r="AE16" s="116" t="s">
        <v>213</v>
      </c>
      <c r="AF16" s="116" t="s">
        <v>214</v>
      </c>
      <c r="AG16" s="116" t="s">
        <v>215</v>
      </c>
      <c r="AH16" s="116" t="s">
        <v>216</v>
      </c>
      <c r="AI16" s="116" t="s">
        <v>509</v>
      </c>
      <c r="AJ16" s="116" t="s">
        <v>217</v>
      </c>
      <c r="AK16" s="116" t="s">
        <v>218</v>
      </c>
      <c r="AL16" s="116" t="s">
        <v>219</v>
      </c>
      <c r="AM16" s="116" t="s">
        <v>220</v>
      </c>
      <c r="AN16" s="116" t="s">
        <v>221</v>
      </c>
      <c r="AO16" s="116" t="s">
        <v>222</v>
      </c>
      <c r="AP16" s="116" t="s">
        <v>223</v>
      </c>
      <c r="AQ16" s="116" t="s">
        <v>510</v>
      </c>
      <c r="AR16" s="116" t="s">
        <v>224</v>
      </c>
      <c r="AS16" s="116" t="s">
        <v>225</v>
      </c>
      <c r="AT16" s="116" t="s">
        <v>226</v>
      </c>
      <c r="AU16" s="116" t="s">
        <v>227</v>
      </c>
      <c r="AV16" s="116" t="s">
        <v>228</v>
      </c>
      <c r="AW16" s="116" t="s">
        <v>229</v>
      </c>
      <c r="AX16" s="116" t="s">
        <v>230</v>
      </c>
      <c r="AY16" s="116" t="s">
        <v>515</v>
      </c>
      <c r="AZ16" s="116" t="s">
        <v>231</v>
      </c>
      <c r="BA16" s="116" t="s">
        <v>232</v>
      </c>
      <c r="BB16" s="116" t="s">
        <v>233</v>
      </c>
      <c r="BC16" s="116" t="s">
        <v>234</v>
      </c>
      <c r="BD16" s="116" t="s">
        <v>235</v>
      </c>
      <c r="BE16" s="116" t="s">
        <v>236</v>
      </c>
      <c r="BF16" s="116" t="s">
        <v>237</v>
      </c>
      <c r="BG16" s="116" t="s">
        <v>514</v>
      </c>
      <c r="BH16" s="116" t="s">
        <v>238</v>
      </c>
      <c r="BI16" s="116" t="s">
        <v>239</v>
      </c>
      <c r="BJ16" s="116" t="s">
        <v>240</v>
      </c>
      <c r="BK16" s="116" t="s">
        <v>241</v>
      </c>
      <c r="BL16" s="116" t="s">
        <v>242</v>
      </c>
      <c r="BM16" s="116" t="s">
        <v>243</v>
      </c>
      <c r="BN16" s="116" t="s">
        <v>244</v>
      </c>
      <c r="BO16" s="116" t="s">
        <v>513</v>
      </c>
      <c r="BP16" s="116" t="s">
        <v>231</v>
      </c>
      <c r="BQ16" s="116" t="s">
        <v>232</v>
      </c>
      <c r="BR16" s="116" t="s">
        <v>233</v>
      </c>
      <c r="BS16" s="116" t="s">
        <v>234</v>
      </c>
      <c r="BT16" s="116" t="s">
        <v>235</v>
      </c>
      <c r="BU16" s="116" t="s">
        <v>236</v>
      </c>
      <c r="BV16" s="116" t="s">
        <v>237</v>
      </c>
      <c r="BW16" s="116" t="s">
        <v>514</v>
      </c>
      <c r="BX16" s="116" t="s">
        <v>238</v>
      </c>
      <c r="BY16" s="116" t="s">
        <v>239</v>
      </c>
      <c r="BZ16" s="116" t="s">
        <v>240</v>
      </c>
      <c r="CA16" s="116" t="s">
        <v>241</v>
      </c>
      <c r="CB16" s="116" t="s">
        <v>242</v>
      </c>
      <c r="CC16" s="116" t="s">
        <v>243</v>
      </c>
      <c r="CD16" s="116" t="s">
        <v>244</v>
      </c>
      <c r="CE16" s="116" t="s">
        <v>513</v>
      </c>
      <c r="CF16" s="116" t="s">
        <v>231</v>
      </c>
      <c r="CG16" s="116" t="s">
        <v>232</v>
      </c>
      <c r="CH16" s="116" t="s">
        <v>233</v>
      </c>
      <c r="CI16" s="116" t="s">
        <v>234</v>
      </c>
      <c r="CJ16" s="116" t="s">
        <v>235</v>
      </c>
      <c r="CK16" s="116" t="s">
        <v>236</v>
      </c>
      <c r="CL16" s="116" t="s">
        <v>237</v>
      </c>
      <c r="CM16" s="116" t="s">
        <v>514</v>
      </c>
      <c r="CN16" s="116" t="s">
        <v>238</v>
      </c>
      <c r="CO16" s="116" t="s">
        <v>239</v>
      </c>
      <c r="CP16" s="116" t="s">
        <v>240</v>
      </c>
      <c r="CQ16" s="116" t="s">
        <v>241</v>
      </c>
      <c r="CR16" s="116" t="s">
        <v>242</v>
      </c>
      <c r="CS16" s="116" t="s">
        <v>243</v>
      </c>
      <c r="CT16" s="116" t="s">
        <v>244</v>
      </c>
      <c r="CU16" s="116" t="s">
        <v>513</v>
      </c>
      <c r="CV16" s="116" t="s">
        <v>245</v>
      </c>
      <c r="CW16" s="116" t="s">
        <v>246</v>
      </c>
      <c r="CX16" s="116" t="s">
        <v>247</v>
      </c>
      <c r="CY16" s="116" t="s">
        <v>248</v>
      </c>
      <c r="CZ16" s="116" t="s">
        <v>249</v>
      </c>
      <c r="DA16" s="116" t="s">
        <v>250</v>
      </c>
      <c r="DB16" s="116" t="s">
        <v>251</v>
      </c>
      <c r="DC16" s="116" t="s">
        <v>512</v>
      </c>
      <c r="DD16" s="116" t="s">
        <v>252</v>
      </c>
      <c r="DE16" s="116" t="s">
        <v>253</v>
      </c>
      <c r="DF16" s="116" t="s">
        <v>254</v>
      </c>
      <c r="DG16" s="116" t="s">
        <v>255</v>
      </c>
      <c r="DH16" s="116" t="s">
        <v>256</v>
      </c>
      <c r="DI16" s="116" t="s">
        <v>257</v>
      </c>
      <c r="DJ16" s="116" t="s">
        <v>258</v>
      </c>
      <c r="DK16" s="116" t="s">
        <v>511</v>
      </c>
      <c r="DL16" s="116" t="s">
        <v>259</v>
      </c>
    </row>
    <row r="17" spans="1:116" s="485" customFormat="1" x14ac:dyDescent="0.25">
      <c r="A17" s="118" t="s">
        <v>31</v>
      </c>
      <c r="B17" s="38" t="s">
        <v>32</v>
      </c>
      <c r="C17" s="435" t="s">
        <v>33</v>
      </c>
      <c r="D17" s="435">
        <f>D18</f>
        <v>65.496759438013697</v>
      </c>
      <c r="E17" s="435">
        <f>E18</f>
        <v>72.523150042554064</v>
      </c>
      <c r="F17" s="435" t="e">
        <f t="shared" ref="F17:BP17" si="0">F18</f>
        <v>#VALUE!</v>
      </c>
      <c r="G17" s="435" t="e">
        <f t="shared" si="0"/>
        <v>#VALUE!</v>
      </c>
      <c r="H17" s="435" t="e">
        <f t="shared" si="0"/>
        <v>#VALUE!</v>
      </c>
      <c r="I17" s="435" t="e">
        <f t="shared" si="0"/>
        <v>#VALUE!</v>
      </c>
      <c r="J17" s="435" t="e">
        <f t="shared" si="0"/>
        <v>#VALUE!</v>
      </c>
      <c r="K17" s="435" t="e">
        <f t="shared" si="0"/>
        <v>#VALUE!</v>
      </c>
      <c r="L17" s="435" t="e">
        <f t="shared" si="0"/>
        <v>#VALUE!</v>
      </c>
      <c r="M17" s="435" t="e">
        <f t="shared" si="0"/>
        <v>#VALUE!</v>
      </c>
      <c r="N17" s="435" t="e">
        <f t="shared" si="0"/>
        <v>#VALUE!</v>
      </c>
      <c r="O17" s="435" t="e">
        <f t="shared" si="0"/>
        <v>#VALUE!</v>
      </c>
      <c r="P17" s="435" t="e">
        <f t="shared" si="0"/>
        <v>#VALUE!</v>
      </c>
      <c r="Q17" s="435" t="e">
        <f t="shared" si="0"/>
        <v>#VALUE!</v>
      </c>
      <c r="R17" s="435" t="e">
        <f t="shared" si="0"/>
        <v>#VALUE!</v>
      </c>
      <c r="S17" s="435" t="e">
        <f t="shared" si="0"/>
        <v>#VALUE!</v>
      </c>
      <c r="T17" s="435" t="str">
        <f t="shared" si="0"/>
        <v>н</v>
      </c>
      <c r="U17" s="435">
        <f t="shared" si="0"/>
        <v>8.0554510516666671</v>
      </c>
      <c r="V17" s="435" t="str">
        <f t="shared" si="0"/>
        <v>нд</v>
      </c>
      <c r="W17" s="435" t="str">
        <f t="shared" si="0"/>
        <v>нд</v>
      </c>
      <c r="X17" s="435" t="str">
        <f t="shared" si="0"/>
        <v>нд</v>
      </c>
      <c r="Y17" s="435" t="str">
        <f t="shared" si="0"/>
        <v>нд</v>
      </c>
      <c r="Z17" s="484">
        <f t="shared" si="0"/>
        <v>347</v>
      </c>
      <c r="AA17" s="484" t="str">
        <f t="shared" si="0"/>
        <v>нд</v>
      </c>
      <c r="AB17" s="435" t="str">
        <f t="shared" si="0"/>
        <v>нд</v>
      </c>
      <c r="AC17" s="435">
        <f t="shared" si="0"/>
        <v>8.0554510516666671</v>
      </c>
      <c r="AD17" s="435" t="str">
        <f t="shared" si="0"/>
        <v>нд</v>
      </c>
      <c r="AE17" s="435" t="str">
        <f t="shared" si="0"/>
        <v>нд</v>
      </c>
      <c r="AF17" s="435" t="str">
        <f t="shared" si="0"/>
        <v>нд</v>
      </c>
      <c r="AG17" s="435" t="str">
        <f t="shared" si="0"/>
        <v>нд</v>
      </c>
      <c r="AH17" s="484">
        <f t="shared" si="0"/>
        <v>347</v>
      </c>
      <c r="AI17" s="435" t="str">
        <f t="shared" si="0"/>
        <v>нд</v>
      </c>
      <c r="AJ17" s="435" t="str">
        <f t="shared" si="0"/>
        <v>нд</v>
      </c>
      <c r="AK17" s="435">
        <f t="shared" si="0"/>
        <v>12.714540676984999</v>
      </c>
      <c r="AL17" s="435">
        <f t="shared" si="0"/>
        <v>0.25</v>
      </c>
      <c r="AM17" s="435" t="str">
        <f t="shared" si="0"/>
        <v>нд</v>
      </c>
      <c r="AN17" s="435">
        <f t="shared" si="0"/>
        <v>3.95</v>
      </c>
      <c r="AO17" s="435" t="str">
        <f t="shared" si="0"/>
        <v>нд</v>
      </c>
      <c r="AP17" s="484">
        <f t="shared" si="0"/>
        <v>287</v>
      </c>
      <c r="AQ17" s="484" t="str">
        <f t="shared" si="0"/>
        <v>нд</v>
      </c>
      <c r="AR17" s="435" t="str">
        <f t="shared" si="0"/>
        <v>нд</v>
      </c>
      <c r="AS17" s="435">
        <f>AS18</f>
        <v>10.518329999999999</v>
      </c>
      <c r="AT17" s="435">
        <f t="shared" si="0"/>
        <v>0.25</v>
      </c>
      <c r="AU17" s="435" t="str">
        <f t="shared" si="0"/>
        <v>нд</v>
      </c>
      <c r="AV17" s="435">
        <f t="shared" si="0"/>
        <v>3.3</v>
      </c>
      <c r="AW17" s="435" t="str">
        <f t="shared" si="0"/>
        <v>нд</v>
      </c>
      <c r="AX17" s="435" t="str">
        <f t="shared" si="0"/>
        <v>нд</v>
      </c>
      <c r="AY17" s="435" t="str">
        <f t="shared" si="0"/>
        <v>нд</v>
      </c>
      <c r="AZ17" s="435" t="str">
        <f t="shared" si="0"/>
        <v>нд</v>
      </c>
      <c r="BA17" s="435">
        <f t="shared" si="0"/>
        <v>11.646191959434644</v>
      </c>
      <c r="BB17" s="435" t="str">
        <f t="shared" si="0"/>
        <v>нд</v>
      </c>
      <c r="BC17" s="435" t="str">
        <f t="shared" si="0"/>
        <v>нд</v>
      </c>
      <c r="BD17" s="435">
        <f t="shared" si="0"/>
        <v>1.5669999999999999</v>
      </c>
      <c r="BE17" s="435" t="str">
        <f t="shared" si="0"/>
        <v>нд</v>
      </c>
      <c r="BF17" s="484">
        <f t="shared" si="0"/>
        <v>171</v>
      </c>
      <c r="BG17" s="484">
        <f t="shared" si="0"/>
        <v>1</v>
      </c>
      <c r="BH17" s="435" t="str">
        <f t="shared" si="0"/>
        <v>нд</v>
      </c>
      <c r="BI17" s="435">
        <f t="shared" si="0"/>
        <v>20.868793240960002</v>
      </c>
      <c r="BJ17" s="435" t="str">
        <f t="shared" si="0"/>
        <v>нд</v>
      </c>
      <c r="BK17" s="435" t="str">
        <f t="shared" si="0"/>
        <v>нд</v>
      </c>
      <c r="BL17" s="435">
        <f t="shared" si="0"/>
        <v>3.24715</v>
      </c>
      <c r="BM17" s="435" t="str">
        <f t="shared" si="0"/>
        <v>нд</v>
      </c>
      <c r="BN17" s="484">
        <f t="shared" si="0"/>
        <v>1</v>
      </c>
      <c r="BO17" s="484">
        <f t="shared" si="0"/>
        <v>2</v>
      </c>
      <c r="BP17" s="435" t="str">
        <f t="shared" si="0"/>
        <v>нд</v>
      </c>
      <c r="BQ17" s="435">
        <f t="shared" ref="BQ17:DL18" si="1">BQ18</f>
        <v>17.384887256056416</v>
      </c>
      <c r="BR17" s="435">
        <f t="shared" si="1"/>
        <v>0.66</v>
      </c>
      <c r="BS17" s="435" t="str">
        <f t="shared" si="1"/>
        <v>нд</v>
      </c>
      <c r="BT17" s="435">
        <f t="shared" si="1"/>
        <v>2.0659999999999998</v>
      </c>
      <c r="BU17" s="435" t="str">
        <f t="shared" si="1"/>
        <v>нд</v>
      </c>
      <c r="BV17" s="484">
        <f t="shared" si="1"/>
        <v>201</v>
      </c>
      <c r="BW17" s="484">
        <f t="shared" si="1"/>
        <v>1</v>
      </c>
      <c r="BX17" s="435" t="str">
        <f t="shared" si="1"/>
        <v>нд</v>
      </c>
      <c r="BY17" s="435">
        <f t="shared" si="1"/>
        <v>17.384887256056416</v>
      </c>
      <c r="BZ17" s="435">
        <f t="shared" si="1"/>
        <v>0.66</v>
      </c>
      <c r="CA17" s="435" t="str">
        <f t="shared" si="1"/>
        <v>нд</v>
      </c>
      <c r="CB17" s="435">
        <f t="shared" si="1"/>
        <v>2.0659999999999998</v>
      </c>
      <c r="CC17" s="435" t="str">
        <f t="shared" si="1"/>
        <v>нд</v>
      </c>
      <c r="CD17" s="484">
        <f t="shared" si="1"/>
        <v>201</v>
      </c>
      <c r="CE17" s="484">
        <f t="shared" si="1"/>
        <v>1</v>
      </c>
      <c r="CF17" s="435" t="str">
        <f t="shared" si="1"/>
        <v>нд</v>
      </c>
      <c r="CG17" s="435">
        <f t="shared" si="1"/>
        <v>15.695688493870982</v>
      </c>
      <c r="CH17" s="435" t="str">
        <f t="shared" si="1"/>
        <v>нд</v>
      </c>
      <c r="CI17" s="435" t="str">
        <f t="shared" si="1"/>
        <v>нд</v>
      </c>
      <c r="CJ17" s="435" t="str">
        <f t="shared" si="1"/>
        <v>нд</v>
      </c>
      <c r="CK17" s="435" t="str">
        <f t="shared" si="1"/>
        <v>нд</v>
      </c>
      <c r="CL17" s="484">
        <f t="shared" si="1"/>
        <v>213</v>
      </c>
      <c r="CM17" s="484" t="str">
        <f t="shared" si="1"/>
        <v>нд</v>
      </c>
      <c r="CN17" s="435" t="str">
        <f t="shared" si="1"/>
        <v>нд</v>
      </c>
      <c r="CO17" s="435">
        <f t="shared" si="1"/>
        <v>15.695688493870982</v>
      </c>
      <c r="CP17" s="435" t="str">
        <f t="shared" si="1"/>
        <v>нд</v>
      </c>
      <c r="CQ17" s="435" t="str">
        <f t="shared" si="1"/>
        <v>нд</v>
      </c>
      <c r="CR17" s="435" t="str">
        <f t="shared" si="1"/>
        <v>нд</v>
      </c>
      <c r="CS17" s="435" t="str">
        <f t="shared" si="1"/>
        <v>нд</v>
      </c>
      <c r="CT17" s="484">
        <f t="shared" si="1"/>
        <v>213</v>
      </c>
      <c r="CU17" s="435" t="str">
        <f t="shared" si="1"/>
        <v>нд</v>
      </c>
      <c r="CV17" s="435" t="str">
        <f t="shared" si="1"/>
        <v>нд</v>
      </c>
      <c r="CW17" s="435">
        <f t="shared" si="1"/>
        <v>65.496759438013697</v>
      </c>
      <c r="CX17" s="435">
        <f t="shared" si="1"/>
        <v>0.91</v>
      </c>
      <c r="CY17" s="435" t="str">
        <f t="shared" si="1"/>
        <v>нд</v>
      </c>
      <c r="CZ17" s="435">
        <f t="shared" si="1"/>
        <v>7.5830000000000002</v>
      </c>
      <c r="DA17" s="435" t="str">
        <f t="shared" si="1"/>
        <v>нд</v>
      </c>
      <c r="DB17" s="484">
        <f t="shared" si="1"/>
        <v>1219</v>
      </c>
      <c r="DC17" s="484">
        <f t="shared" si="1"/>
        <v>2</v>
      </c>
      <c r="DD17" s="435" t="str">
        <f t="shared" si="1"/>
        <v>нд</v>
      </c>
      <c r="DE17" s="435">
        <f>DE18</f>
        <v>72.523150042554064</v>
      </c>
      <c r="DF17" s="435">
        <f t="shared" si="1"/>
        <v>0.91</v>
      </c>
      <c r="DG17" s="435" t="str">
        <f t="shared" si="1"/>
        <v>нд</v>
      </c>
      <c r="DH17" s="435">
        <f t="shared" si="1"/>
        <v>8.613150000000001</v>
      </c>
      <c r="DI17" s="435" t="str">
        <f t="shared" si="1"/>
        <v>нд</v>
      </c>
      <c r="DJ17" s="484">
        <f t="shared" si="1"/>
        <v>762</v>
      </c>
      <c r="DK17" s="484">
        <f t="shared" si="1"/>
        <v>3</v>
      </c>
      <c r="DL17" s="435" t="str">
        <f t="shared" si="1"/>
        <v>нд</v>
      </c>
    </row>
    <row r="18" spans="1:116" s="488" customFormat="1" x14ac:dyDescent="0.25">
      <c r="A18" s="121" t="s">
        <v>55</v>
      </c>
      <c r="B18" s="9" t="s">
        <v>34</v>
      </c>
      <c r="C18" s="438" t="s">
        <v>33</v>
      </c>
      <c r="D18" s="438">
        <f t="shared" ref="D18:S18" si="2">D19+D40</f>
        <v>65.496759438013697</v>
      </c>
      <c r="E18" s="438">
        <f t="shared" si="2"/>
        <v>72.523150042554064</v>
      </c>
      <c r="F18" s="438" t="e">
        <f t="shared" si="2"/>
        <v>#VALUE!</v>
      </c>
      <c r="G18" s="438" t="e">
        <f t="shared" si="2"/>
        <v>#VALUE!</v>
      </c>
      <c r="H18" s="438" t="e">
        <f t="shared" si="2"/>
        <v>#VALUE!</v>
      </c>
      <c r="I18" s="438" t="e">
        <f t="shared" si="2"/>
        <v>#VALUE!</v>
      </c>
      <c r="J18" s="438" t="e">
        <f t="shared" si="2"/>
        <v>#VALUE!</v>
      </c>
      <c r="K18" s="438" t="e">
        <f t="shared" si="2"/>
        <v>#VALUE!</v>
      </c>
      <c r="L18" s="438" t="e">
        <f t="shared" si="2"/>
        <v>#VALUE!</v>
      </c>
      <c r="M18" s="438" t="e">
        <f t="shared" si="2"/>
        <v>#VALUE!</v>
      </c>
      <c r="N18" s="438" t="e">
        <f t="shared" si="2"/>
        <v>#VALUE!</v>
      </c>
      <c r="O18" s="438" t="e">
        <f t="shared" si="2"/>
        <v>#VALUE!</v>
      </c>
      <c r="P18" s="438" t="e">
        <f t="shared" si="2"/>
        <v>#VALUE!</v>
      </c>
      <c r="Q18" s="438" t="e">
        <f t="shared" si="2"/>
        <v>#VALUE!</v>
      </c>
      <c r="R18" s="438" t="e">
        <f t="shared" si="2"/>
        <v>#VALUE!</v>
      </c>
      <c r="S18" s="438" t="e">
        <f t="shared" si="2"/>
        <v>#VALUE!</v>
      </c>
      <c r="T18" s="438" t="s">
        <v>1317</v>
      </c>
      <c r="U18" s="438">
        <f>U19</f>
        <v>8.0554510516666671</v>
      </c>
      <c r="V18" s="438" t="s">
        <v>33</v>
      </c>
      <c r="W18" s="438" t="s">
        <v>33</v>
      </c>
      <c r="X18" s="438" t="s">
        <v>33</v>
      </c>
      <c r="Y18" s="438" t="s">
        <v>33</v>
      </c>
      <c r="Z18" s="486">
        <f>Z19</f>
        <v>347</v>
      </c>
      <c r="AA18" s="486" t="s">
        <v>33</v>
      </c>
      <c r="AB18" s="438" t="s">
        <v>33</v>
      </c>
      <c r="AC18" s="438">
        <f>AC19</f>
        <v>8.0554510516666671</v>
      </c>
      <c r="AD18" s="438" t="s">
        <v>33</v>
      </c>
      <c r="AE18" s="438" t="s">
        <v>33</v>
      </c>
      <c r="AF18" s="438" t="s">
        <v>33</v>
      </c>
      <c r="AG18" s="438" t="s">
        <v>33</v>
      </c>
      <c r="AH18" s="486">
        <f>AH19</f>
        <v>347</v>
      </c>
      <c r="AI18" s="438" t="s">
        <v>33</v>
      </c>
      <c r="AJ18" s="438" t="s">
        <v>33</v>
      </c>
      <c r="AK18" s="438">
        <f>AK19</f>
        <v>12.714540676984999</v>
      </c>
      <c r="AL18" s="438">
        <f>AL19</f>
        <v>0.25</v>
      </c>
      <c r="AM18" s="438" t="s">
        <v>33</v>
      </c>
      <c r="AN18" s="438">
        <f>AN19</f>
        <v>3.95</v>
      </c>
      <c r="AO18" s="438" t="s">
        <v>33</v>
      </c>
      <c r="AP18" s="486">
        <f>AP19</f>
        <v>287</v>
      </c>
      <c r="AQ18" s="486" t="s">
        <v>33</v>
      </c>
      <c r="AR18" s="438" t="s">
        <v>33</v>
      </c>
      <c r="AS18" s="438">
        <f>AS19</f>
        <v>10.518329999999999</v>
      </c>
      <c r="AT18" s="438">
        <f>AT19</f>
        <v>0.25</v>
      </c>
      <c r="AU18" s="438" t="s">
        <v>33</v>
      </c>
      <c r="AV18" s="438">
        <f>AV19</f>
        <v>3.3</v>
      </c>
      <c r="AW18" s="438" t="s">
        <v>33</v>
      </c>
      <c r="AX18" s="438" t="s">
        <v>33</v>
      </c>
      <c r="AY18" s="438" t="s">
        <v>33</v>
      </c>
      <c r="AZ18" s="438" t="s">
        <v>33</v>
      </c>
      <c r="BA18" s="438">
        <f>BA19+BA40</f>
        <v>11.646191959434644</v>
      </c>
      <c r="BB18" s="438" t="s">
        <v>33</v>
      </c>
      <c r="BC18" s="438" t="s">
        <v>33</v>
      </c>
      <c r="BD18" s="438">
        <f>BD19</f>
        <v>1.5669999999999999</v>
      </c>
      <c r="BE18" s="438" t="s">
        <v>33</v>
      </c>
      <c r="BF18" s="486">
        <f>BF19</f>
        <v>171</v>
      </c>
      <c r="BG18" s="486">
        <f>BG40</f>
        <v>1</v>
      </c>
      <c r="BH18" s="438" t="s">
        <v>33</v>
      </c>
      <c r="BI18" s="438">
        <f>BI19+BI40</f>
        <v>20.868793240960002</v>
      </c>
      <c r="BJ18" s="438" t="s">
        <v>33</v>
      </c>
      <c r="BK18" s="438" t="s">
        <v>33</v>
      </c>
      <c r="BL18" s="438">
        <f>BL19</f>
        <v>3.24715</v>
      </c>
      <c r="BM18" s="438" t="s">
        <v>33</v>
      </c>
      <c r="BN18" s="486">
        <f>BN19</f>
        <v>1</v>
      </c>
      <c r="BO18" s="486">
        <f>BO40</f>
        <v>2</v>
      </c>
      <c r="BP18" s="438" t="s">
        <v>33</v>
      </c>
      <c r="BQ18" s="438">
        <f>BQ19+BQ40</f>
        <v>17.384887256056416</v>
      </c>
      <c r="BR18" s="438">
        <f t="shared" ref="BR18" si="3">BR19</f>
        <v>0.66</v>
      </c>
      <c r="BS18" s="438" t="s">
        <v>33</v>
      </c>
      <c r="BT18" s="438">
        <f>BT19</f>
        <v>2.0659999999999998</v>
      </c>
      <c r="BU18" s="438" t="str">
        <f t="shared" ref="BU18:BV18" si="4">BU19</f>
        <v>нд</v>
      </c>
      <c r="BV18" s="487">
        <f t="shared" si="4"/>
        <v>201</v>
      </c>
      <c r="BW18" s="486">
        <f>BW40</f>
        <v>1</v>
      </c>
      <c r="BX18" s="438" t="s">
        <v>33</v>
      </c>
      <c r="BY18" s="438">
        <f>BY19+BY40</f>
        <v>17.384887256056416</v>
      </c>
      <c r="BZ18" s="438">
        <f t="shared" si="1"/>
        <v>0.66</v>
      </c>
      <c r="CA18" s="438" t="s">
        <v>33</v>
      </c>
      <c r="CB18" s="438">
        <f>CB19</f>
        <v>2.0659999999999998</v>
      </c>
      <c r="CC18" s="438" t="str">
        <f t="shared" ref="CC18:CD18" si="5">CC19</f>
        <v>нд</v>
      </c>
      <c r="CD18" s="487">
        <f t="shared" si="5"/>
        <v>201</v>
      </c>
      <c r="CE18" s="486">
        <f>CE40</f>
        <v>1</v>
      </c>
      <c r="CF18" s="438" t="s">
        <v>33</v>
      </c>
      <c r="CG18" s="438">
        <f>CG19</f>
        <v>15.695688493870982</v>
      </c>
      <c r="CH18" s="438" t="str">
        <f t="shared" ref="CH18:CV18" si="6">CH19</f>
        <v>нд</v>
      </c>
      <c r="CI18" s="438" t="str">
        <f t="shared" si="6"/>
        <v>нд</v>
      </c>
      <c r="CJ18" s="438" t="str">
        <f t="shared" si="6"/>
        <v>нд</v>
      </c>
      <c r="CK18" s="438" t="str">
        <f t="shared" si="6"/>
        <v>нд</v>
      </c>
      <c r="CL18" s="487">
        <f t="shared" si="6"/>
        <v>213</v>
      </c>
      <c r="CM18" s="438" t="str">
        <f t="shared" si="6"/>
        <v>нд</v>
      </c>
      <c r="CN18" s="438" t="str">
        <f t="shared" si="6"/>
        <v>нд</v>
      </c>
      <c r="CO18" s="438">
        <f>CO19</f>
        <v>15.695688493870982</v>
      </c>
      <c r="CP18" s="438" t="str">
        <f t="shared" si="6"/>
        <v>нд</v>
      </c>
      <c r="CQ18" s="438" t="str">
        <f t="shared" si="6"/>
        <v>нд</v>
      </c>
      <c r="CR18" s="438" t="str">
        <f t="shared" si="6"/>
        <v>нд</v>
      </c>
      <c r="CS18" s="438" t="str">
        <f t="shared" si="6"/>
        <v>нд</v>
      </c>
      <c r="CT18" s="487">
        <f t="shared" ref="CT18" si="7">CT19</f>
        <v>213</v>
      </c>
      <c r="CU18" s="438" t="str">
        <f t="shared" si="6"/>
        <v>нд</v>
      </c>
      <c r="CV18" s="438" t="str">
        <f t="shared" si="6"/>
        <v>нд</v>
      </c>
      <c r="CW18" s="438">
        <f>CW19+CW40</f>
        <v>65.496759438013697</v>
      </c>
      <c r="CX18" s="438">
        <f t="shared" ref="CX18" si="8">CX19</f>
        <v>0.91</v>
      </c>
      <c r="CY18" s="438" t="s">
        <v>33</v>
      </c>
      <c r="CZ18" s="438">
        <f>CZ19</f>
        <v>7.5830000000000002</v>
      </c>
      <c r="DA18" s="438" t="str">
        <f t="shared" ref="DA18:DB18" si="9">DA19</f>
        <v>нд</v>
      </c>
      <c r="DB18" s="487">
        <f t="shared" si="9"/>
        <v>1219</v>
      </c>
      <c r="DC18" s="486">
        <f>DC40</f>
        <v>2</v>
      </c>
      <c r="DD18" s="438" t="s">
        <v>33</v>
      </c>
      <c r="DE18" s="438">
        <f>DE19+DE40</f>
        <v>72.523150042554064</v>
      </c>
      <c r="DF18" s="438">
        <f t="shared" si="1"/>
        <v>0.91</v>
      </c>
      <c r="DG18" s="438" t="s">
        <v>33</v>
      </c>
      <c r="DH18" s="438">
        <f>DH19</f>
        <v>8.613150000000001</v>
      </c>
      <c r="DI18" s="438" t="str">
        <f t="shared" ref="DI18:DJ18" si="10">DI19</f>
        <v>нд</v>
      </c>
      <c r="DJ18" s="487">
        <f t="shared" si="10"/>
        <v>762</v>
      </c>
      <c r="DK18" s="486">
        <f>DK40</f>
        <v>3</v>
      </c>
      <c r="DL18" s="438" t="s">
        <v>33</v>
      </c>
    </row>
    <row r="19" spans="1:116" s="485" customFormat="1" ht="31.5" x14ac:dyDescent="0.25">
      <c r="A19" s="118" t="s">
        <v>36</v>
      </c>
      <c r="B19" s="38" t="s">
        <v>37</v>
      </c>
      <c r="C19" s="435" t="s">
        <v>33</v>
      </c>
      <c r="D19" s="435">
        <f t="shared" ref="D19:S19" si="11">D20+D25+D32</f>
        <v>54.270423646779093</v>
      </c>
      <c r="E19" s="435">
        <f t="shared" si="11"/>
        <v>58.238862141901542</v>
      </c>
      <c r="F19" s="435" t="e">
        <f t="shared" si="11"/>
        <v>#VALUE!</v>
      </c>
      <c r="G19" s="435" t="e">
        <f t="shared" si="11"/>
        <v>#VALUE!</v>
      </c>
      <c r="H19" s="435" t="e">
        <f t="shared" si="11"/>
        <v>#VALUE!</v>
      </c>
      <c r="I19" s="435" t="e">
        <f t="shared" si="11"/>
        <v>#VALUE!</v>
      </c>
      <c r="J19" s="435" t="e">
        <f t="shared" si="11"/>
        <v>#VALUE!</v>
      </c>
      <c r="K19" s="435" t="e">
        <f t="shared" si="11"/>
        <v>#VALUE!</v>
      </c>
      <c r="L19" s="435" t="e">
        <f t="shared" si="11"/>
        <v>#VALUE!</v>
      </c>
      <c r="M19" s="435" t="e">
        <f t="shared" si="11"/>
        <v>#VALUE!</v>
      </c>
      <c r="N19" s="435" t="e">
        <f t="shared" si="11"/>
        <v>#VALUE!</v>
      </c>
      <c r="O19" s="435" t="e">
        <f t="shared" si="11"/>
        <v>#VALUE!</v>
      </c>
      <c r="P19" s="435" t="e">
        <f t="shared" si="11"/>
        <v>#VALUE!</v>
      </c>
      <c r="Q19" s="435" t="e">
        <f t="shared" si="11"/>
        <v>#VALUE!</v>
      </c>
      <c r="R19" s="435" t="e">
        <f t="shared" si="11"/>
        <v>#VALUE!</v>
      </c>
      <c r="S19" s="435" t="e">
        <f t="shared" si="11"/>
        <v>#VALUE!</v>
      </c>
      <c r="T19" s="435" t="str">
        <f>T20</f>
        <v>нд</v>
      </c>
      <c r="U19" s="435">
        <f>U32</f>
        <v>8.0554510516666671</v>
      </c>
      <c r="V19" s="435" t="str">
        <f t="shared" ref="V19:AJ19" si="12">V32</f>
        <v>нд</v>
      </c>
      <c r="W19" s="435" t="str">
        <f t="shared" si="12"/>
        <v>нд</v>
      </c>
      <c r="X19" s="435" t="str">
        <f t="shared" si="12"/>
        <v>нд</v>
      </c>
      <c r="Y19" s="435" t="str">
        <f t="shared" si="12"/>
        <v>нд</v>
      </c>
      <c r="Z19" s="489">
        <f>Z32</f>
        <v>347</v>
      </c>
      <c r="AA19" s="435" t="str">
        <f t="shared" si="12"/>
        <v>нд</v>
      </c>
      <c r="AB19" s="435" t="str">
        <f t="shared" si="12"/>
        <v>нд</v>
      </c>
      <c r="AC19" s="435">
        <f t="shared" si="12"/>
        <v>8.0554510516666671</v>
      </c>
      <c r="AD19" s="435" t="str">
        <f t="shared" si="12"/>
        <v>нд</v>
      </c>
      <c r="AE19" s="435" t="str">
        <f t="shared" si="12"/>
        <v>нд</v>
      </c>
      <c r="AF19" s="435" t="str">
        <f t="shared" si="12"/>
        <v>нд</v>
      </c>
      <c r="AG19" s="435" t="str">
        <f t="shared" si="12"/>
        <v>нд</v>
      </c>
      <c r="AH19" s="484">
        <f t="shared" si="12"/>
        <v>347</v>
      </c>
      <c r="AI19" s="435" t="str">
        <f t="shared" si="12"/>
        <v>нд</v>
      </c>
      <c r="AJ19" s="435" t="str">
        <f t="shared" si="12"/>
        <v>нд</v>
      </c>
      <c r="AK19" s="435">
        <f>AK25+AK32</f>
        <v>12.714540676984999</v>
      </c>
      <c r="AL19" s="435">
        <f>AL25</f>
        <v>0.25</v>
      </c>
      <c r="AM19" s="435" t="str">
        <f>AM20</f>
        <v>нд</v>
      </c>
      <c r="AN19" s="435">
        <f>AN25</f>
        <v>3.95</v>
      </c>
      <c r="AO19" s="435" t="str">
        <f>AO20</f>
        <v>нд</v>
      </c>
      <c r="AP19" s="489">
        <f>AP32</f>
        <v>287</v>
      </c>
      <c r="AQ19" s="435" t="str">
        <f>AQ20</f>
        <v>нд</v>
      </c>
      <c r="AR19" s="435" t="str">
        <f>AR20</f>
        <v>нд</v>
      </c>
      <c r="AS19" s="435">
        <f>AS20+AS25</f>
        <v>10.518329999999999</v>
      </c>
      <c r="AT19" s="435">
        <f>AT25</f>
        <v>0.25</v>
      </c>
      <c r="AU19" s="435" t="str">
        <f t="shared" ref="AU19:AY19" si="13">AU20</f>
        <v>нд</v>
      </c>
      <c r="AV19" s="435">
        <f>AV25</f>
        <v>3.3</v>
      </c>
      <c r="AW19" s="435" t="str">
        <f t="shared" si="13"/>
        <v>нд</v>
      </c>
      <c r="AX19" s="435" t="str">
        <f t="shared" si="13"/>
        <v>нд</v>
      </c>
      <c r="AY19" s="435" t="str">
        <f t="shared" si="13"/>
        <v>нд</v>
      </c>
      <c r="AZ19" s="435" t="str">
        <f>AZ20</f>
        <v>нд</v>
      </c>
      <c r="BA19" s="435">
        <f>BA25+BA32</f>
        <v>5.4302052688525597</v>
      </c>
      <c r="BB19" s="435" t="str">
        <f>BB20</f>
        <v>нд</v>
      </c>
      <c r="BC19" s="435" t="str">
        <f>BC20</f>
        <v>нд</v>
      </c>
      <c r="BD19" s="435">
        <f>BD25</f>
        <v>1.5669999999999999</v>
      </c>
      <c r="BE19" s="435" t="str">
        <f>BE20</f>
        <v>нд</v>
      </c>
      <c r="BF19" s="484">
        <f>BF32</f>
        <v>171</v>
      </c>
      <c r="BG19" s="435" t="str">
        <f>BG20</f>
        <v>нд</v>
      </c>
      <c r="BH19" s="435" t="str">
        <f t="shared" ref="BH19:BP19" si="14">BH20</f>
        <v>нд</v>
      </c>
      <c r="BI19" s="435">
        <f>BI25+BI32</f>
        <v>11.594854440960001</v>
      </c>
      <c r="BJ19" s="435" t="str">
        <f t="shared" si="14"/>
        <v>нд</v>
      </c>
      <c r="BK19" s="435" t="str">
        <f t="shared" si="14"/>
        <v>нд</v>
      </c>
      <c r="BL19" s="435">
        <f>BL25</f>
        <v>3.24715</v>
      </c>
      <c r="BM19" s="435" t="str">
        <f t="shared" si="14"/>
        <v>нд</v>
      </c>
      <c r="BN19" s="484">
        <f>BN32</f>
        <v>1</v>
      </c>
      <c r="BO19" s="484" t="s">
        <v>33</v>
      </c>
      <c r="BP19" s="435" t="str">
        <f t="shared" si="14"/>
        <v>нд</v>
      </c>
      <c r="BQ19" s="435">
        <f>BQ20+BQ25+BQ32</f>
        <v>12.37453815540389</v>
      </c>
      <c r="BR19" s="435">
        <f>BR20+BR25</f>
        <v>0.66</v>
      </c>
      <c r="BS19" s="435" t="str">
        <f>BS20</f>
        <v>нд</v>
      </c>
      <c r="BT19" s="435">
        <f>BT25</f>
        <v>2.0659999999999998</v>
      </c>
      <c r="BU19" s="435" t="str">
        <f>BU20</f>
        <v>нд</v>
      </c>
      <c r="BV19" s="484">
        <f>BV32</f>
        <v>201</v>
      </c>
      <c r="BW19" s="435" t="str">
        <f>BW20</f>
        <v>нд</v>
      </c>
      <c r="BX19" s="435" t="str">
        <f>BX20</f>
        <v>нд</v>
      </c>
      <c r="BY19" s="435">
        <f>BY20+BY25+BY32</f>
        <v>12.37453815540389</v>
      </c>
      <c r="BZ19" s="435">
        <f>BZ20+BZ25</f>
        <v>0.66</v>
      </c>
      <c r="CA19" s="435" t="str">
        <f>CA20</f>
        <v>нд</v>
      </c>
      <c r="CB19" s="435">
        <f>CB25</f>
        <v>2.0659999999999998</v>
      </c>
      <c r="CC19" s="435" t="str">
        <f>CC20</f>
        <v>нд</v>
      </c>
      <c r="CD19" s="484">
        <f>CD32</f>
        <v>201</v>
      </c>
      <c r="CE19" s="435" t="str">
        <f>CE20</f>
        <v>нд</v>
      </c>
      <c r="CF19" s="435" t="str">
        <f t="shared" ref="CF19" si="15">CF20</f>
        <v>нд</v>
      </c>
      <c r="CG19" s="435">
        <f>CG20+CG32</f>
        <v>15.695688493870982</v>
      </c>
      <c r="CH19" s="435" t="str">
        <f>CH20</f>
        <v>нд</v>
      </c>
      <c r="CI19" s="435" t="str">
        <f t="shared" ref="CI19:CK19" si="16">CI20</f>
        <v>нд</v>
      </c>
      <c r="CJ19" s="435" t="str">
        <f t="shared" si="16"/>
        <v>нд</v>
      </c>
      <c r="CK19" s="435" t="str">
        <f t="shared" si="16"/>
        <v>нд</v>
      </c>
      <c r="CL19" s="484">
        <f>CL32</f>
        <v>213</v>
      </c>
      <c r="CM19" s="435" t="str">
        <f>CM20</f>
        <v>нд</v>
      </c>
      <c r="CN19" s="435" t="str">
        <f t="shared" ref="CN19:CV19" si="17">CN20</f>
        <v>нд</v>
      </c>
      <c r="CO19" s="435">
        <f>CO20+CO32</f>
        <v>15.695688493870982</v>
      </c>
      <c r="CP19" s="435" t="str">
        <f t="shared" si="17"/>
        <v>нд</v>
      </c>
      <c r="CQ19" s="435" t="str">
        <f t="shared" si="17"/>
        <v>нд</v>
      </c>
      <c r="CR19" s="435" t="str">
        <f t="shared" si="17"/>
        <v>нд</v>
      </c>
      <c r="CS19" s="435" t="str">
        <f t="shared" si="17"/>
        <v>нд</v>
      </c>
      <c r="CT19" s="484">
        <f>CT32</f>
        <v>213</v>
      </c>
      <c r="CU19" s="435" t="str">
        <f t="shared" si="17"/>
        <v>нд</v>
      </c>
      <c r="CV19" s="435" t="str">
        <f t="shared" si="17"/>
        <v>нд</v>
      </c>
      <c r="CW19" s="435">
        <f>CW20+CW25+CW32</f>
        <v>54.270423646779093</v>
      </c>
      <c r="CX19" s="435">
        <f>CX20+CX25</f>
        <v>0.91</v>
      </c>
      <c r="CY19" s="435" t="str">
        <f>CY20</f>
        <v>нд</v>
      </c>
      <c r="CZ19" s="435">
        <f>CZ25</f>
        <v>7.5830000000000002</v>
      </c>
      <c r="DA19" s="435" t="str">
        <f>DA20</f>
        <v>нд</v>
      </c>
      <c r="DB19" s="484">
        <f>DB32</f>
        <v>1219</v>
      </c>
      <c r="DC19" s="435" t="str">
        <f>DC20</f>
        <v>нд</v>
      </c>
      <c r="DD19" s="435" t="str">
        <f t="shared" ref="DD19:DL19" si="18">DD20</f>
        <v>нд</v>
      </c>
      <c r="DE19" s="435">
        <f>DE20+DE25+DE32</f>
        <v>58.238862141901542</v>
      </c>
      <c r="DF19" s="435">
        <f>DF20+DF25</f>
        <v>0.91</v>
      </c>
      <c r="DG19" s="435" t="str">
        <f>DG20</f>
        <v>нд</v>
      </c>
      <c r="DH19" s="435">
        <f>DH25</f>
        <v>8.613150000000001</v>
      </c>
      <c r="DI19" s="435" t="str">
        <f>DI20</f>
        <v>нд</v>
      </c>
      <c r="DJ19" s="484">
        <f>DJ32</f>
        <v>762</v>
      </c>
      <c r="DK19" s="435" t="str">
        <f>DK20</f>
        <v>нд</v>
      </c>
      <c r="DL19" s="435" t="str">
        <f t="shared" si="18"/>
        <v>нд</v>
      </c>
    </row>
    <row r="20" spans="1:116" s="490" customFormat="1" ht="47.25" x14ac:dyDescent="0.25">
      <c r="A20" s="124" t="s">
        <v>53</v>
      </c>
      <c r="B20" s="39" t="s">
        <v>54</v>
      </c>
      <c r="C20" s="442" t="s">
        <v>33</v>
      </c>
      <c r="D20" s="442">
        <f>D21</f>
        <v>16.747516856458226</v>
      </c>
      <c r="E20" s="442">
        <f>E21</f>
        <v>21.898831386458227</v>
      </c>
      <c r="F20" s="442">
        <f t="shared" ref="F20:BP21" si="19">F21</f>
        <v>0</v>
      </c>
      <c r="G20" s="442">
        <f t="shared" si="19"/>
        <v>0</v>
      </c>
      <c r="H20" s="442">
        <f t="shared" si="19"/>
        <v>0</v>
      </c>
      <c r="I20" s="442">
        <f t="shared" si="19"/>
        <v>0</v>
      </c>
      <c r="J20" s="442">
        <f t="shared" si="19"/>
        <v>0</v>
      </c>
      <c r="K20" s="442">
        <f t="shared" si="19"/>
        <v>0</v>
      </c>
      <c r="L20" s="442">
        <f t="shared" si="19"/>
        <v>0</v>
      </c>
      <c r="M20" s="442">
        <f t="shared" si="19"/>
        <v>0</v>
      </c>
      <c r="N20" s="442">
        <f t="shared" si="19"/>
        <v>0</v>
      </c>
      <c r="O20" s="442">
        <f t="shared" si="19"/>
        <v>0</v>
      </c>
      <c r="P20" s="442">
        <f t="shared" si="19"/>
        <v>0</v>
      </c>
      <c r="Q20" s="442">
        <f t="shared" si="19"/>
        <v>0</v>
      </c>
      <c r="R20" s="442">
        <f t="shared" si="19"/>
        <v>0</v>
      </c>
      <c r="S20" s="442">
        <f t="shared" si="19"/>
        <v>0</v>
      </c>
      <c r="T20" s="442" t="str">
        <f t="shared" si="19"/>
        <v>нд</v>
      </c>
      <c r="U20" s="442" t="str">
        <f t="shared" si="19"/>
        <v>нд</v>
      </c>
      <c r="V20" s="442" t="str">
        <f t="shared" si="19"/>
        <v>нд</v>
      </c>
      <c r="W20" s="442" t="str">
        <f t="shared" si="19"/>
        <v>нд</v>
      </c>
      <c r="X20" s="442" t="str">
        <f t="shared" si="19"/>
        <v>нд</v>
      </c>
      <c r="Y20" s="442" t="str">
        <f t="shared" si="19"/>
        <v>нд</v>
      </c>
      <c r="Z20" s="442" t="str">
        <f t="shared" si="19"/>
        <v>нд</v>
      </c>
      <c r="AA20" s="442" t="str">
        <f t="shared" si="19"/>
        <v>нд</v>
      </c>
      <c r="AB20" s="442" t="str">
        <f t="shared" si="19"/>
        <v>нд</v>
      </c>
      <c r="AC20" s="442" t="str">
        <f t="shared" si="19"/>
        <v>нд</v>
      </c>
      <c r="AD20" s="442" t="str">
        <f t="shared" si="19"/>
        <v>нд</v>
      </c>
      <c r="AE20" s="442" t="str">
        <f t="shared" si="19"/>
        <v>нд</v>
      </c>
      <c r="AF20" s="442" t="str">
        <f t="shared" si="19"/>
        <v>нд</v>
      </c>
      <c r="AG20" s="442" t="str">
        <f t="shared" si="19"/>
        <v>нд</v>
      </c>
      <c r="AH20" s="442" t="str">
        <f t="shared" si="19"/>
        <v>нд</v>
      </c>
      <c r="AI20" s="442" t="str">
        <f t="shared" si="19"/>
        <v>нд</v>
      </c>
      <c r="AJ20" s="442" t="str">
        <f t="shared" si="19"/>
        <v>нд</v>
      </c>
      <c r="AK20" s="442" t="str">
        <f t="shared" si="19"/>
        <v>нд</v>
      </c>
      <c r="AL20" s="442" t="str">
        <f t="shared" si="19"/>
        <v>нд</v>
      </c>
      <c r="AM20" s="442" t="str">
        <f t="shared" si="19"/>
        <v>нд</v>
      </c>
      <c r="AN20" s="442" t="str">
        <f t="shared" si="19"/>
        <v>нд</v>
      </c>
      <c r="AO20" s="442" t="str">
        <f t="shared" si="19"/>
        <v>нд</v>
      </c>
      <c r="AP20" s="442" t="str">
        <f t="shared" si="19"/>
        <v>нд</v>
      </c>
      <c r="AQ20" s="442" t="str">
        <f t="shared" si="19"/>
        <v>нд</v>
      </c>
      <c r="AR20" s="442" t="str">
        <f t="shared" si="19"/>
        <v>нд</v>
      </c>
      <c r="AS20" s="442">
        <f t="shared" si="19"/>
        <v>5.1513145299999996</v>
      </c>
      <c r="AT20" s="442" t="str">
        <f t="shared" si="19"/>
        <v>нд</v>
      </c>
      <c r="AU20" s="442" t="str">
        <f t="shared" si="19"/>
        <v>нд</v>
      </c>
      <c r="AV20" s="442" t="str">
        <f t="shared" si="19"/>
        <v>нд</v>
      </c>
      <c r="AW20" s="442" t="str">
        <f t="shared" si="19"/>
        <v>нд</v>
      </c>
      <c r="AX20" s="442" t="str">
        <f t="shared" si="19"/>
        <v>нд</v>
      </c>
      <c r="AY20" s="442" t="str">
        <f t="shared" si="19"/>
        <v>нд</v>
      </c>
      <c r="AZ20" s="442" t="str">
        <f t="shared" si="19"/>
        <v>нд</v>
      </c>
      <c r="BA20" s="442" t="str">
        <f t="shared" si="19"/>
        <v>нд</v>
      </c>
      <c r="BB20" s="442" t="str">
        <f t="shared" si="19"/>
        <v>нд</v>
      </c>
      <c r="BC20" s="442" t="str">
        <f t="shared" si="19"/>
        <v>нд</v>
      </c>
      <c r="BD20" s="442" t="str">
        <f t="shared" si="19"/>
        <v>нд</v>
      </c>
      <c r="BE20" s="442" t="str">
        <f t="shared" si="19"/>
        <v>нд</v>
      </c>
      <c r="BF20" s="442" t="str">
        <f t="shared" si="19"/>
        <v>нд</v>
      </c>
      <c r="BG20" s="442" t="str">
        <f t="shared" si="19"/>
        <v>нд</v>
      </c>
      <c r="BH20" s="442" t="str">
        <f t="shared" si="19"/>
        <v>нд</v>
      </c>
      <c r="BI20" s="442" t="str">
        <f t="shared" si="19"/>
        <v>нд</v>
      </c>
      <c r="BJ20" s="442" t="str">
        <f t="shared" si="19"/>
        <v>нд</v>
      </c>
      <c r="BK20" s="442" t="str">
        <f t="shared" si="19"/>
        <v>нд</v>
      </c>
      <c r="BL20" s="442" t="str">
        <f t="shared" si="19"/>
        <v>нд</v>
      </c>
      <c r="BM20" s="442" t="str">
        <f t="shared" si="19"/>
        <v>нд</v>
      </c>
      <c r="BN20" s="442" t="str">
        <f t="shared" si="19"/>
        <v>нд</v>
      </c>
      <c r="BO20" s="442" t="str">
        <f t="shared" si="19"/>
        <v>нд</v>
      </c>
      <c r="BP20" s="442" t="str">
        <f t="shared" si="19"/>
        <v>нд</v>
      </c>
      <c r="BQ20" s="442">
        <f t="shared" ref="BQ20:DL21" si="20">BQ21</f>
        <v>6.0644829059401966</v>
      </c>
      <c r="BR20" s="442">
        <f t="shared" si="20"/>
        <v>0.5</v>
      </c>
      <c r="BS20" s="442" t="str">
        <f t="shared" si="20"/>
        <v>нд</v>
      </c>
      <c r="BT20" s="442" t="str">
        <f t="shared" si="20"/>
        <v>нд</v>
      </c>
      <c r="BU20" s="442" t="str">
        <f t="shared" si="20"/>
        <v>нд</v>
      </c>
      <c r="BV20" s="442" t="str">
        <f t="shared" si="20"/>
        <v>нд</v>
      </c>
      <c r="BW20" s="442" t="str">
        <f t="shared" si="20"/>
        <v>нд</v>
      </c>
      <c r="BX20" s="442" t="str">
        <f t="shared" si="20"/>
        <v>нд</v>
      </c>
      <c r="BY20" s="442">
        <f t="shared" si="20"/>
        <v>6.0644829059401966</v>
      </c>
      <c r="BZ20" s="442">
        <f t="shared" si="20"/>
        <v>0.5</v>
      </c>
      <c r="CA20" s="442" t="str">
        <f t="shared" si="20"/>
        <v>нд</v>
      </c>
      <c r="CB20" s="442" t="str">
        <f t="shared" si="20"/>
        <v>нд</v>
      </c>
      <c r="CC20" s="442" t="str">
        <f t="shared" si="20"/>
        <v>нд</v>
      </c>
      <c r="CD20" s="442" t="str">
        <f t="shared" si="20"/>
        <v>нд</v>
      </c>
      <c r="CE20" s="442" t="str">
        <f t="shared" si="20"/>
        <v>нд</v>
      </c>
      <c r="CF20" s="442" t="str">
        <f t="shared" si="20"/>
        <v>нд</v>
      </c>
      <c r="CG20" s="442">
        <f t="shared" si="20"/>
        <v>10.683033950518029</v>
      </c>
      <c r="CH20" s="442" t="str">
        <f t="shared" si="20"/>
        <v>нд</v>
      </c>
      <c r="CI20" s="442" t="str">
        <f t="shared" si="20"/>
        <v>нд</v>
      </c>
      <c r="CJ20" s="442" t="str">
        <f t="shared" si="20"/>
        <v>нд</v>
      </c>
      <c r="CK20" s="442" t="str">
        <f t="shared" si="20"/>
        <v>нд</v>
      </c>
      <c r="CL20" s="442" t="str">
        <f t="shared" si="20"/>
        <v>нд</v>
      </c>
      <c r="CM20" s="442" t="str">
        <f t="shared" si="20"/>
        <v>нд</v>
      </c>
      <c r="CN20" s="442" t="str">
        <f t="shared" si="20"/>
        <v>нд</v>
      </c>
      <c r="CO20" s="442">
        <f t="shared" si="20"/>
        <v>10.683033950518029</v>
      </c>
      <c r="CP20" s="442" t="str">
        <f t="shared" si="20"/>
        <v>нд</v>
      </c>
      <c r="CQ20" s="442" t="str">
        <f t="shared" si="20"/>
        <v>нд</v>
      </c>
      <c r="CR20" s="442" t="str">
        <f t="shared" si="20"/>
        <v>нд</v>
      </c>
      <c r="CS20" s="442" t="str">
        <f t="shared" si="20"/>
        <v>нд</v>
      </c>
      <c r="CT20" s="442" t="str">
        <f t="shared" si="20"/>
        <v>нд</v>
      </c>
      <c r="CU20" s="442" t="str">
        <f t="shared" si="20"/>
        <v>нд</v>
      </c>
      <c r="CV20" s="442" t="str">
        <f t="shared" si="20"/>
        <v>нд</v>
      </c>
      <c r="CW20" s="442">
        <f t="shared" si="20"/>
        <v>16.747516856458226</v>
      </c>
      <c r="CX20" s="442">
        <f t="shared" si="20"/>
        <v>0.5</v>
      </c>
      <c r="CY20" s="442" t="str">
        <f t="shared" si="20"/>
        <v>нд</v>
      </c>
      <c r="CZ20" s="442" t="str">
        <f t="shared" si="20"/>
        <v>нд</v>
      </c>
      <c r="DA20" s="442" t="str">
        <f t="shared" si="20"/>
        <v>нд</v>
      </c>
      <c r="DB20" s="442" t="str">
        <f t="shared" si="20"/>
        <v>нд</v>
      </c>
      <c r="DC20" s="442" t="str">
        <f t="shared" si="20"/>
        <v>нд</v>
      </c>
      <c r="DD20" s="442" t="str">
        <f t="shared" si="20"/>
        <v>нд</v>
      </c>
      <c r="DE20" s="442">
        <f t="shared" si="20"/>
        <v>21.898831386458227</v>
      </c>
      <c r="DF20" s="442">
        <f t="shared" si="20"/>
        <v>0.5</v>
      </c>
      <c r="DG20" s="442" t="str">
        <f t="shared" si="20"/>
        <v>нд</v>
      </c>
      <c r="DH20" s="442" t="str">
        <f t="shared" si="20"/>
        <v>нд</v>
      </c>
      <c r="DI20" s="442" t="str">
        <f t="shared" si="20"/>
        <v>нд</v>
      </c>
      <c r="DJ20" s="442" t="str">
        <f t="shared" si="20"/>
        <v>нд</v>
      </c>
      <c r="DK20" s="442" t="str">
        <f t="shared" si="20"/>
        <v>нд</v>
      </c>
      <c r="DL20" s="442" t="str">
        <f t="shared" si="20"/>
        <v>нд</v>
      </c>
    </row>
    <row r="21" spans="1:116" s="491" customFormat="1" ht="19.5" customHeight="1" x14ac:dyDescent="0.25">
      <c r="A21" s="127" t="s">
        <v>38</v>
      </c>
      <c r="B21" s="10" t="s">
        <v>39</v>
      </c>
      <c r="C21" s="444" t="s">
        <v>33</v>
      </c>
      <c r="D21" s="444">
        <f>SUM(D22:D24)</f>
        <v>16.747516856458226</v>
      </c>
      <c r="E21" s="444">
        <f>SUM(E22:E24)</f>
        <v>21.898831386458227</v>
      </c>
      <c r="F21" s="444">
        <f t="shared" ref="F21:S21" si="21">SUM(F22:F24)</f>
        <v>0</v>
      </c>
      <c r="G21" s="444">
        <f t="shared" si="21"/>
        <v>0</v>
      </c>
      <c r="H21" s="444">
        <f t="shared" si="21"/>
        <v>0</v>
      </c>
      <c r="I21" s="444">
        <f t="shared" si="21"/>
        <v>0</v>
      </c>
      <c r="J21" s="444">
        <f t="shared" si="21"/>
        <v>0</v>
      </c>
      <c r="K21" s="444">
        <f t="shared" si="21"/>
        <v>0</v>
      </c>
      <c r="L21" s="444">
        <f t="shared" si="21"/>
        <v>0</v>
      </c>
      <c r="M21" s="444">
        <f t="shared" si="21"/>
        <v>0</v>
      </c>
      <c r="N21" s="444">
        <f t="shared" si="21"/>
        <v>0</v>
      </c>
      <c r="O21" s="444">
        <f t="shared" si="21"/>
        <v>0</v>
      </c>
      <c r="P21" s="444">
        <f t="shared" si="21"/>
        <v>0</v>
      </c>
      <c r="Q21" s="444">
        <f t="shared" si="21"/>
        <v>0</v>
      </c>
      <c r="R21" s="444">
        <f t="shared" si="21"/>
        <v>0</v>
      </c>
      <c r="S21" s="444">
        <f t="shared" si="21"/>
        <v>0</v>
      </c>
      <c r="T21" s="444" t="str">
        <f>T22</f>
        <v>нд</v>
      </c>
      <c r="U21" s="444" t="str">
        <f t="shared" si="19"/>
        <v>нд</v>
      </c>
      <c r="V21" s="444" t="str">
        <f t="shared" si="19"/>
        <v>нд</v>
      </c>
      <c r="W21" s="444" t="str">
        <f t="shared" si="19"/>
        <v>нд</v>
      </c>
      <c r="X21" s="444" t="str">
        <f t="shared" si="19"/>
        <v>нд</v>
      </c>
      <c r="Y21" s="444" t="str">
        <f t="shared" si="19"/>
        <v>нд</v>
      </c>
      <c r="Z21" s="444" t="str">
        <f>Z22</f>
        <v>нд</v>
      </c>
      <c r="AA21" s="444" t="str">
        <f t="shared" si="19"/>
        <v>нд</v>
      </c>
      <c r="AB21" s="444" t="str">
        <f t="shared" si="19"/>
        <v>нд</v>
      </c>
      <c r="AC21" s="444" t="str">
        <f t="shared" si="19"/>
        <v>нд</v>
      </c>
      <c r="AD21" s="444" t="str">
        <f t="shared" si="19"/>
        <v>нд</v>
      </c>
      <c r="AE21" s="444" t="str">
        <f t="shared" si="19"/>
        <v>нд</v>
      </c>
      <c r="AF21" s="444" t="str">
        <f t="shared" si="19"/>
        <v>нд</v>
      </c>
      <c r="AG21" s="444" t="str">
        <f t="shared" si="19"/>
        <v>нд</v>
      </c>
      <c r="AH21" s="444" t="str">
        <f t="shared" si="19"/>
        <v>нд</v>
      </c>
      <c r="AI21" s="444" t="str">
        <f t="shared" si="19"/>
        <v>нд</v>
      </c>
      <c r="AJ21" s="444" t="str">
        <f t="shared" si="19"/>
        <v>нд</v>
      </c>
      <c r="AK21" s="444" t="str">
        <f t="shared" si="19"/>
        <v>нд</v>
      </c>
      <c r="AL21" s="444" t="str">
        <f t="shared" si="19"/>
        <v>нд</v>
      </c>
      <c r="AM21" s="444" t="str">
        <f t="shared" si="19"/>
        <v>нд</v>
      </c>
      <c r="AN21" s="444" t="str">
        <f t="shared" si="19"/>
        <v>нд</v>
      </c>
      <c r="AO21" s="444" t="str">
        <f t="shared" si="19"/>
        <v>нд</v>
      </c>
      <c r="AP21" s="444" t="str">
        <f t="shared" si="19"/>
        <v>нд</v>
      </c>
      <c r="AQ21" s="444" t="str">
        <f t="shared" si="19"/>
        <v>нд</v>
      </c>
      <c r="AR21" s="444" t="str">
        <f t="shared" si="19"/>
        <v>нд</v>
      </c>
      <c r="AS21" s="444">
        <f t="shared" si="19"/>
        <v>5.1513145299999996</v>
      </c>
      <c r="AT21" s="444" t="str">
        <f t="shared" si="19"/>
        <v>нд</v>
      </c>
      <c r="AU21" s="444" t="str">
        <f t="shared" si="19"/>
        <v>нд</v>
      </c>
      <c r="AV21" s="444" t="str">
        <f t="shared" si="19"/>
        <v>нд</v>
      </c>
      <c r="AW21" s="444" t="str">
        <f t="shared" si="19"/>
        <v>нд</v>
      </c>
      <c r="AX21" s="444" t="str">
        <f t="shared" si="19"/>
        <v>нд</v>
      </c>
      <c r="AY21" s="444" t="str">
        <f t="shared" si="19"/>
        <v>нд</v>
      </c>
      <c r="AZ21" s="444" t="str">
        <f t="shared" si="19"/>
        <v>нд</v>
      </c>
      <c r="BA21" s="444" t="str">
        <f t="shared" si="19"/>
        <v>нд</v>
      </c>
      <c r="BB21" s="444" t="str">
        <f t="shared" si="19"/>
        <v>нд</v>
      </c>
      <c r="BC21" s="444" t="str">
        <f t="shared" si="19"/>
        <v>нд</v>
      </c>
      <c r="BD21" s="444" t="str">
        <f t="shared" si="19"/>
        <v>нд</v>
      </c>
      <c r="BE21" s="444" t="str">
        <f t="shared" si="19"/>
        <v>нд</v>
      </c>
      <c r="BF21" s="444" t="str">
        <f t="shared" si="19"/>
        <v>нд</v>
      </c>
      <c r="BG21" s="444" t="str">
        <f t="shared" si="19"/>
        <v>нд</v>
      </c>
      <c r="BH21" s="444" t="str">
        <f t="shared" si="19"/>
        <v>нд</v>
      </c>
      <c r="BI21" s="444" t="str">
        <f t="shared" si="19"/>
        <v>нд</v>
      </c>
      <c r="BJ21" s="444" t="str">
        <f t="shared" si="19"/>
        <v>нд</v>
      </c>
      <c r="BK21" s="444" t="str">
        <f t="shared" si="19"/>
        <v>нд</v>
      </c>
      <c r="BL21" s="444" t="str">
        <f t="shared" si="19"/>
        <v>нд</v>
      </c>
      <c r="BM21" s="444" t="str">
        <f t="shared" si="19"/>
        <v>нд</v>
      </c>
      <c r="BN21" s="444" t="str">
        <f t="shared" si="19"/>
        <v>нд</v>
      </c>
      <c r="BO21" s="444" t="str">
        <f t="shared" si="19"/>
        <v>нд</v>
      </c>
      <c r="BP21" s="444" t="str">
        <f t="shared" si="19"/>
        <v>нд</v>
      </c>
      <c r="BQ21" s="444">
        <f t="shared" ref="BQ21:CG21" si="22">SUM(BQ22:BQ24)</f>
        <v>6.0644829059401966</v>
      </c>
      <c r="BR21" s="444">
        <f t="shared" ref="BR21" si="23">SUM(BR22:BR24)</f>
        <v>0.5</v>
      </c>
      <c r="BS21" s="444" t="str">
        <f t="shared" si="20"/>
        <v>нд</v>
      </c>
      <c r="BT21" s="444" t="str">
        <f t="shared" si="20"/>
        <v>нд</v>
      </c>
      <c r="BU21" s="444" t="str">
        <f t="shared" si="20"/>
        <v>нд</v>
      </c>
      <c r="BV21" s="444" t="str">
        <f>BV22</f>
        <v>нд</v>
      </c>
      <c r="BW21" s="444" t="str">
        <f t="shared" si="20"/>
        <v>нд</v>
      </c>
      <c r="BX21" s="444" t="str">
        <f t="shared" si="20"/>
        <v>нд</v>
      </c>
      <c r="BY21" s="444">
        <f t="shared" ref="BY21:BZ21" si="24">SUM(BY22:BY24)</f>
        <v>6.0644829059401966</v>
      </c>
      <c r="BZ21" s="444">
        <f t="shared" si="24"/>
        <v>0.5</v>
      </c>
      <c r="CA21" s="444" t="str">
        <f t="shared" si="20"/>
        <v>нд</v>
      </c>
      <c r="CB21" s="444" t="str">
        <f t="shared" si="20"/>
        <v>нд</v>
      </c>
      <c r="CC21" s="444" t="str">
        <f t="shared" si="20"/>
        <v>нд</v>
      </c>
      <c r="CD21" s="444" t="str">
        <f>CD22</f>
        <v>нд</v>
      </c>
      <c r="CE21" s="444" t="str">
        <f t="shared" si="20"/>
        <v>нд</v>
      </c>
      <c r="CF21" s="444" t="str">
        <f t="shared" si="20"/>
        <v>нд</v>
      </c>
      <c r="CG21" s="444">
        <f t="shared" si="22"/>
        <v>10.683033950518029</v>
      </c>
      <c r="CH21" s="444" t="s">
        <v>33</v>
      </c>
      <c r="CI21" s="444" t="s">
        <v>33</v>
      </c>
      <c r="CJ21" s="444" t="s">
        <v>33</v>
      </c>
      <c r="CK21" s="444" t="s">
        <v>33</v>
      </c>
      <c r="CL21" s="444" t="s">
        <v>33</v>
      </c>
      <c r="CM21" s="444" t="s">
        <v>33</v>
      </c>
      <c r="CN21" s="444" t="s">
        <v>33</v>
      </c>
      <c r="CO21" s="444">
        <f t="shared" ref="CO21" si="25">SUM(CO22:CO24)</f>
        <v>10.683033950518029</v>
      </c>
      <c r="CP21" s="444" t="s">
        <v>33</v>
      </c>
      <c r="CQ21" s="444" t="s">
        <v>33</v>
      </c>
      <c r="CR21" s="444" t="s">
        <v>33</v>
      </c>
      <c r="CS21" s="444" t="s">
        <v>33</v>
      </c>
      <c r="CT21" s="444" t="s">
        <v>33</v>
      </c>
      <c r="CU21" s="444" t="s">
        <v>33</v>
      </c>
      <c r="CV21" s="444" t="s">
        <v>33</v>
      </c>
      <c r="CW21" s="444">
        <f>SUM(CW22:CW24)</f>
        <v>16.747516856458226</v>
      </c>
      <c r="CX21" s="444">
        <f>SUM(CX22:CX24)</f>
        <v>0.5</v>
      </c>
      <c r="CY21" s="444" t="s">
        <v>33</v>
      </c>
      <c r="CZ21" s="444" t="s">
        <v>33</v>
      </c>
      <c r="DA21" s="444" t="s">
        <v>33</v>
      </c>
      <c r="DB21" s="444" t="s">
        <v>33</v>
      </c>
      <c r="DC21" s="444" t="s">
        <v>33</v>
      </c>
      <c r="DD21" s="444" t="str">
        <f t="shared" si="20"/>
        <v>нд</v>
      </c>
      <c r="DE21" s="444">
        <f>SUM(DE22:DE24)</f>
        <v>21.898831386458227</v>
      </c>
      <c r="DF21" s="444">
        <f>SUM(DF22:DF24)</f>
        <v>0.5</v>
      </c>
      <c r="DG21" s="444" t="str">
        <f t="shared" si="20"/>
        <v>нд</v>
      </c>
      <c r="DH21" s="444" t="str">
        <f t="shared" si="20"/>
        <v>нд</v>
      </c>
      <c r="DI21" s="444" t="str">
        <f t="shared" si="20"/>
        <v>нд</v>
      </c>
      <c r="DJ21" s="444" t="str">
        <f t="shared" si="20"/>
        <v>нд</v>
      </c>
      <c r="DK21" s="444" t="str">
        <f t="shared" si="20"/>
        <v>нд</v>
      </c>
      <c r="DL21" s="444" t="str">
        <f t="shared" si="20"/>
        <v>нд</v>
      </c>
    </row>
    <row r="22" spans="1:116" s="492" customFormat="1" ht="30" x14ac:dyDescent="0.25">
      <c r="A22" s="13" t="s">
        <v>40</v>
      </c>
      <c r="B22" s="375" t="s">
        <v>1330</v>
      </c>
      <c r="C22" s="410" t="s">
        <v>1348</v>
      </c>
      <c r="D22" s="410" t="str">
        <f>Ф3!K20</f>
        <v>нд</v>
      </c>
      <c r="E22" s="410">
        <f>Ф3!P20</f>
        <v>5.1513145299999996</v>
      </c>
      <c r="F22" s="410">
        <v>0</v>
      </c>
      <c r="G22" s="410">
        <v>0</v>
      </c>
      <c r="H22" s="410">
        <v>0</v>
      </c>
      <c r="I22" s="410">
        <v>0</v>
      </c>
      <c r="J22" s="410">
        <v>0</v>
      </c>
      <c r="K22" s="410">
        <v>0</v>
      </c>
      <c r="L22" s="410">
        <v>0</v>
      </c>
      <c r="M22" s="410">
        <v>0</v>
      </c>
      <c r="N22" s="410">
        <v>0</v>
      </c>
      <c r="O22" s="410">
        <v>0</v>
      </c>
      <c r="P22" s="410">
        <v>0</v>
      </c>
      <c r="Q22" s="410">
        <v>0</v>
      </c>
      <c r="R22" s="410">
        <v>0</v>
      </c>
      <c r="S22" s="410">
        <v>0</v>
      </c>
      <c r="T22" s="410" t="s">
        <v>33</v>
      </c>
      <c r="U22" s="410" t="s">
        <v>33</v>
      </c>
      <c r="V22" s="410" t="s">
        <v>33</v>
      </c>
      <c r="W22" s="410" t="s">
        <v>33</v>
      </c>
      <c r="X22" s="410" t="s">
        <v>33</v>
      </c>
      <c r="Y22" s="410" t="s">
        <v>33</v>
      </c>
      <c r="Z22" s="410" t="s">
        <v>33</v>
      </c>
      <c r="AA22" s="410" t="s">
        <v>33</v>
      </c>
      <c r="AB22" s="410" t="s">
        <v>33</v>
      </c>
      <c r="AC22" s="410" t="s">
        <v>33</v>
      </c>
      <c r="AD22" s="410" t="s">
        <v>33</v>
      </c>
      <c r="AE22" s="410" t="s">
        <v>33</v>
      </c>
      <c r="AF22" s="410" t="s">
        <v>33</v>
      </c>
      <c r="AG22" s="410" t="s">
        <v>33</v>
      </c>
      <c r="AH22" s="410" t="s">
        <v>33</v>
      </c>
      <c r="AI22" s="410" t="s">
        <v>33</v>
      </c>
      <c r="AJ22" s="410" t="s">
        <v>33</v>
      </c>
      <c r="AK22" s="410" t="s">
        <v>33</v>
      </c>
      <c r="AL22" s="410" t="s">
        <v>33</v>
      </c>
      <c r="AM22" s="410" t="s">
        <v>33</v>
      </c>
      <c r="AN22" s="410" t="s">
        <v>33</v>
      </c>
      <c r="AO22" s="410" t="s">
        <v>33</v>
      </c>
      <c r="AP22" s="410" t="s">
        <v>33</v>
      </c>
      <c r="AQ22" s="410" t="s">
        <v>33</v>
      </c>
      <c r="AR22" s="410" t="s">
        <v>33</v>
      </c>
      <c r="AS22" s="410">
        <f>E22</f>
        <v>5.1513145299999996</v>
      </c>
      <c r="AT22" s="410" t="s">
        <v>33</v>
      </c>
      <c r="AU22" s="410" t="s">
        <v>33</v>
      </c>
      <c r="AV22" s="410" t="s">
        <v>33</v>
      </c>
      <c r="AW22" s="410" t="s">
        <v>33</v>
      </c>
      <c r="AX22" s="410" t="s">
        <v>33</v>
      </c>
      <c r="AY22" s="410" t="s">
        <v>33</v>
      </c>
      <c r="AZ22" s="410" t="s">
        <v>33</v>
      </c>
      <c r="BA22" s="410" t="s">
        <v>33</v>
      </c>
      <c r="BB22" s="410" t="s">
        <v>33</v>
      </c>
      <c r="BC22" s="410" t="s">
        <v>33</v>
      </c>
      <c r="BD22" s="410" t="s">
        <v>33</v>
      </c>
      <c r="BE22" s="410" t="s">
        <v>33</v>
      </c>
      <c r="BF22" s="410" t="s">
        <v>33</v>
      </c>
      <c r="BG22" s="410" t="s">
        <v>33</v>
      </c>
      <c r="BH22" s="410" t="s">
        <v>33</v>
      </c>
      <c r="BI22" s="410" t="s">
        <v>33</v>
      </c>
      <c r="BJ22" s="410" t="s">
        <v>33</v>
      </c>
      <c r="BK22" s="410" t="s">
        <v>33</v>
      </c>
      <c r="BL22" s="410" t="s">
        <v>33</v>
      </c>
      <c r="BM22" s="410" t="s">
        <v>33</v>
      </c>
      <c r="BN22" s="410" t="s">
        <v>33</v>
      </c>
      <c r="BO22" s="410" t="s">
        <v>33</v>
      </c>
      <c r="BP22" s="410" t="s">
        <v>33</v>
      </c>
      <c r="BQ22" s="410" t="s">
        <v>33</v>
      </c>
      <c r="BR22" s="410" t="s">
        <v>33</v>
      </c>
      <c r="BS22" s="410" t="s">
        <v>33</v>
      </c>
      <c r="BT22" s="410" t="s">
        <v>33</v>
      </c>
      <c r="BU22" s="410" t="s">
        <v>33</v>
      </c>
      <c r="BV22" s="410" t="s">
        <v>33</v>
      </c>
      <c r="BW22" s="410" t="s">
        <v>33</v>
      </c>
      <c r="BX22" s="410" t="s">
        <v>33</v>
      </c>
      <c r="BY22" s="410" t="s">
        <v>33</v>
      </c>
      <c r="BZ22" s="410" t="s">
        <v>33</v>
      </c>
      <c r="CA22" s="410" t="s">
        <v>33</v>
      </c>
      <c r="CB22" s="410" t="s">
        <v>33</v>
      </c>
      <c r="CC22" s="410" t="s">
        <v>33</v>
      </c>
      <c r="CD22" s="410" t="s">
        <v>33</v>
      </c>
      <c r="CE22" s="410" t="s">
        <v>33</v>
      </c>
      <c r="CF22" s="410" t="s">
        <v>33</v>
      </c>
      <c r="CG22" s="410" t="s">
        <v>33</v>
      </c>
      <c r="CH22" s="410" t="s">
        <v>33</v>
      </c>
      <c r="CI22" s="410" t="s">
        <v>33</v>
      </c>
      <c r="CJ22" s="410" t="s">
        <v>33</v>
      </c>
      <c r="CK22" s="410" t="s">
        <v>33</v>
      </c>
      <c r="CL22" s="410" t="s">
        <v>33</v>
      </c>
      <c r="CM22" s="410" t="s">
        <v>33</v>
      </c>
      <c r="CN22" s="410" t="s">
        <v>33</v>
      </c>
      <c r="CO22" s="410" t="s">
        <v>33</v>
      </c>
      <c r="CP22" s="410" t="s">
        <v>33</v>
      </c>
      <c r="CQ22" s="410" t="s">
        <v>33</v>
      </c>
      <c r="CR22" s="410" t="s">
        <v>33</v>
      </c>
      <c r="CS22" s="410" t="s">
        <v>33</v>
      </c>
      <c r="CT22" s="410" t="s">
        <v>33</v>
      </c>
      <c r="CU22" s="410" t="s">
        <v>33</v>
      </c>
      <c r="CV22" s="410" t="s">
        <v>33</v>
      </c>
      <c r="CW22" s="410" t="str">
        <f>D22</f>
        <v>нд</v>
      </c>
      <c r="CX22" s="410" t="s">
        <v>33</v>
      </c>
      <c r="CY22" s="410" t="s">
        <v>33</v>
      </c>
      <c r="CZ22" s="410" t="s">
        <v>33</v>
      </c>
      <c r="DA22" s="410" t="s">
        <v>33</v>
      </c>
      <c r="DB22" s="410" t="s">
        <v>33</v>
      </c>
      <c r="DC22" s="410" t="s">
        <v>33</v>
      </c>
      <c r="DD22" s="410" t="s">
        <v>33</v>
      </c>
      <c r="DE22" s="410">
        <f>E22</f>
        <v>5.1513145299999996</v>
      </c>
      <c r="DF22" s="410" t="s">
        <v>33</v>
      </c>
      <c r="DG22" s="410" t="s">
        <v>33</v>
      </c>
      <c r="DH22" s="410" t="s">
        <v>33</v>
      </c>
      <c r="DI22" s="410" t="s">
        <v>33</v>
      </c>
      <c r="DJ22" s="410" t="s">
        <v>33</v>
      </c>
      <c r="DK22" s="410" t="s">
        <v>33</v>
      </c>
      <c r="DL22" s="410" t="s">
        <v>33</v>
      </c>
    </row>
    <row r="23" spans="1:116" s="493" customFormat="1" ht="19.5" customHeight="1" x14ac:dyDescent="0.25">
      <c r="A23" s="13" t="s">
        <v>465</v>
      </c>
      <c r="B23" s="237" t="s">
        <v>648</v>
      </c>
      <c r="C23" s="410" t="s">
        <v>637</v>
      </c>
      <c r="D23" s="410">
        <f>Ф3!K21</f>
        <v>6.0644829059401966</v>
      </c>
      <c r="E23" s="410">
        <f>Ф3!P21</f>
        <v>6.0644829059401966</v>
      </c>
      <c r="F23" s="410" t="s">
        <v>33</v>
      </c>
      <c r="G23" s="410" t="s">
        <v>33</v>
      </c>
      <c r="H23" s="410" t="s">
        <v>33</v>
      </c>
      <c r="I23" s="410" t="s">
        <v>33</v>
      </c>
      <c r="J23" s="410" t="s">
        <v>33</v>
      </c>
      <c r="K23" s="410" t="s">
        <v>33</v>
      </c>
      <c r="L23" s="410" t="s">
        <v>33</v>
      </c>
      <c r="M23" s="410" t="s">
        <v>33</v>
      </c>
      <c r="N23" s="410" t="s">
        <v>33</v>
      </c>
      <c r="O23" s="410" t="s">
        <v>33</v>
      </c>
      <c r="P23" s="410" t="s">
        <v>33</v>
      </c>
      <c r="Q23" s="410" t="s">
        <v>33</v>
      </c>
      <c r="R23" s="410" t="s">
        <v>33</v>
      </c>
      <c r="S23" s="410" t="s">
        <v>33</v>
      </c>
      <c r="T23" s="410" t="s">
        <v>33</v>
      </c>
      <c r="U23" s="410" t="s">
        <v>33</v>
      </c>
      <c r="V23" s="410" t="s">
        <v>33</v>
      </c>
      <c r="W23" s="410" t="s">
        <v>33</v>
      </c>
      <c r="X23" s="410" t="s">
        <v>33</v>
      </c>
      <c r="Y23" s="410" t="s">
        <v>33</v>
      </c>
      <c r="Z23" s="410" t="s">
        <v>33</v>
      </c>
      <c r="AA23" s="410" t="s">
        <v>33</v>
      </c>
      <c r="AB23" s="410" t="s">
        <v>33</v>
      </c>
      <c r="AC23" s="410" t="s">
        <v>33</v>
      </c>
      <c r="AD23" s="410" t="s">
        <v>33</v>
      </c>
      <c r="AE23" s="410" t="s">
        <v>33</v>
      </c>
      <c r="AF23" s="410" t="s">
        <v>33</v>
      </c>
      <c r="AG23" s="410" t="s">
        <v>33</v>
      </c>
      <c r="AH23" s="410" t="s">
        <v>33</v>
      </c>
      <c r="AI23" s="410" t="s">
        <v>33</v>
      </c>
      <c r="AJ23" s="410" t="s">
        <v>33</v>
      </c>
      <c r="AK23" s="410" t="s">
        <v>33</v>
      </c>
      <c r="AL23" s="410" t="s">
        <v>33</v>
      </c>
      <c r="AM23" s="410" t="s">
        <v>33</v>
      </c>
      <c r="AN23" s="410" t="s">
        <v>33</v>
      </c>
      <c r="AO23" s="410" t="s">
        <v>33</v>
      </c>
      <c r="AP23" s="410" t="s">
        <v>33</v>
      </c>
      <c r="AQ23" s="410" t="s">
        <v>33</v>
      </c>
      <c r="AR23" s="410" t="s">
        <v>33</v>
      </c>
      <c r="AS23" s="410" t="s">
        <v>33</v>
      </c>
      <c r="AT23" s="410" t="s">
        <v>33</v>
      </c>
      <c r="AU23" s="410" t="s">
        <v>33</v>
      </c>
      <c r="AV23" s="410" t="s">
        <v>33</v>
      </c>
      <c r="AW23" s="410" t="s">
        <v>33</v>
      </c>
      <c r="AX23" s="410" t="s">
        <v>33</v>
      </c>
      <c r="AY23" s="410" t="s">
        <v>33</v>
      </c>
      <c r="AZ23" s="410" t="s">
        <v>33</v>
      </c>
      <c r="BA23" s="410" t="s">
        <v>33</v>
      </c>
      <c r="BB23" s="410" t="s">
        <v>33</v>
      </c>
      <c r="BC23" s="410" t="s">
        <v>33</v>
      </c>
      <c r="BD23" s="410" t="s">
        <v>33</v>
      </c>
      <c r="BE23" s="410" t="s">
        <v>33</v>
      </c>
      <c r="BF23" s="410" t="s">
        <v>33</v>
      </c>
      <c r="BG23" s="410" t="s">
        <v>33</v>
      </c>
      <c r="BH23" s="410" t="s">
        <v>33</v>
      </c>
      <c r="BI23" s="410" t="s">
        <v>33</v>
      </c>
      <c r="BJ23" s="410" t="s">
        <v>33</v>
      </c>
      <c r="BK23" s="410" t="s">
        <v>33</v>
      </c>
      <c r="BL23" s="410" t="s">
        <v>33</v>
      </c>
      <c r="BM23" s="410" t="s">
        <v>33</v>
      </c>
      <c r="BN23" s="410" t="s">
        <v>33</v>
      </c>
      <c r="BO23" s="410" t="s">
        <v>33</v>
      </c>
      <c r="BP23" s="410" t="s">
        <v>33</v>
      </c>
      <c r="BQ23" s="410">
        <f>D23</f>
        <v>6.0644829059401966</v>
      </c>
      <c r="BR23" s="410">
        <v>0.5</v>
      </c>
      <c r="BS23" s="410" t="s">
        <v>33</v>
      </c>
      <c r="BT23" s="410" t="s">
        <v>33</v>
      </c>
      <c r="BU23" s="410" t="s">
        <v>33</v>
      </c>
      <c r="BV23" s="410" t="s">
        <v>33</v>
      </c>
      <c r="BW23" s="410" t="s">
        <v>33</v>
      </c>
      <c r="BX23" s="410" t="s">
        <v>33</v>
      </c>
      <c r="BY23" s="410">
        <f>E23</f>
        <v>6.0644829059401966</v>
      </c>
      <c r="BZ23" s="410">
        <v>0.5</v>
      </c>
      <c r="CA23" s="410" t="s">
        <v>33</v>
      </c>
      <c r="CB23" s="410" t="s">
        <v>33</v>
      </c>
      <c r="CC23" s="410" t="s">
        <v>33</v>
      </c>
      <c r="CD23" s="410" t="s">
        <v>33</v>
      </c>
      <c r="CE23" s="410" t="s">
        <v>33</v>
      </c>
      <c r="CF23" s="410" t="s">
        <v>33</v>
      </c>
      <c r="CG23" s="410" t="s">
        <v>33</v>
      </c>
      <c r="CH23" s="410" t="s">
        <v>33</v>
      </c>
      <c r="CI23" s="410" t="s">
        <v>33</v>
      </c>
      <c r="CJ23" s="410" t="s">
        <v>33</v>
      </c>
      <c r="CK23" s="410" t="s">
        <v>33</v>
      </c>
      <c r="CL23" s="410" t="s">
        <v>33</v>
      </c>
      <c r="CM23" s="410" t="s">
        <v>33</v>
      </c>
      <c r="CN23" s="410" t="s">
        <v>33</v>
      </c>
      <c r="CO23" s="410" t="s">
        <v>33</v>
      </c>
      <c r="CP23" s="410" t="s">
        <v>33</v>
      </c>
      <c r="CQ23" s="410" t="s">
        <v>33</v>
      </c>
      <c r="CR23" s="410" t="s">
        <v>33</v>
      </c>
      <c r="CS23" s="410" t="s">
        <v>33</v>
      </c>
      <c r="CT23" s="410" t="s">
        <v>33</v>
      </c>
      <c r="CU23" s="410" t="s">
        <v>33</v>
      </c>
      <c r="CV23" s="410" t="s">
        <v>33</v>
      </c>
      <c r="CW23" s="410">
        <f t="shared" ref="CW23:CW24" si="26">D23</f>
        <v>6.0644829059401966</v>
      </c>
      <c r="CX23" s="410">
        <f>BR23</f>
        <v>0.5</v>
      </c>
      <c r="CY23" s="410" t="s">
        <v>33</v>
      </c>
      <c r="CZ23" s="410" t="s">
        <v>33</v>
      </c>
      <c r="DA23" s="410" t="str">
        <f>BU23</f>
        <v>нд</v>
      </c>
      <c r="DB23" s="410" t="s">
        <v>33</v>
      </c>
      <c r="DC23" s="410" t="s">
        <v>33</v>
      </c>
      <c r="DD23" s="410" t="s">
        <v>33</v>
      </c>
      <c r="DE23" s="410">
        <f t="shared" ref="DE23:DE24" si="27">E23</f>
        <v>6.0644829059401966</v>
      </c>
      <c r="DF23" s="410">
        <f>BZ23</f>
        <v>0.5</v>
      </c>
      <c r="DG23" s="410" t="s">
        <v>33</v>
      </c>
      <c r="DH23" s="410" t="s">
        <v>33</v>
      </c>
      <c r="DI23" s="410" t="s">
        <v>33</v>
      </c>
      <c r="DJ23" s="410" t="s">
        <v>33</v>
      </c>
      <c r="DK23" s="410" t="s">
        <v>33</v>
      </c>
      <c r="DL23" s="410" t="s">
        <v>33</v>
      </c>
    </row>
    <row r="24" spans="1:116" s="493" customFormat="1" x14ac:dyDescent="0.25">
      <c r="A24" s="13" t="s">
        <v>615</v>
      </c>
      <c r="B24" s="237" t="s">
        <v>649</v>
      </c>
      <c r="C24" s="410" t="s">
        <v>638</v>
      </c>
      <c r="D24" s="410">
        <f>Ф3!K22</f>
        <v>10.683033950518029</v>
      </c>
      <c r="E24" s="410">
        <f>Ф3!P22</f>
        <v>10.683033950518029</v>
      </c>
      <c r="F24" s="410" t="s">
        <v>33</v>
      </c>
      <c r="G24" s="410" t="s">
        <v>33</v>
      </c>
      <c r="H24" s="410" t="s">
        <v>33</v>
      </c>
      <c r="I24" s="410" t="s">
        <v>33</v>
      </c>
      <c r="J24" s="410" t="s">
        <v>33</v>
      </c>
      <c r="K24" s="410" t="s">
        <v>33</v>
      </c>
      <c r="L24" s="410" t="s">
        <v>33</v>
      </c>
      <c r="M24" s="410" t="s">
        <v>33</v>
      </c>
      <c r="N24" s="410" t="s">
        <v>33</v>
      </c>
      <c r="O24" s="410" t="s">
        <v>33</v>
      </c>
      <c r="P24" s="410" t="s">
        <v>33</v>
      </c>
      <c r="Q24" s="410" t="s">
        <v>33</v>
      </c>
      <c r="R24" s="410" t="s">
        <v>33</v>
      </c>
      <c r="S24" s="410" t="s">
        <v>33</v>
      </c>
      <c r="T24" s="410" t="s">
        <v>33</v>
      </c>
      <c r="U24" s="410" t="s">
        <v>33</v>
      </c>
      <c r="V24" s="410" t="s">
        <v>33</v>
      </c>
      <c r="W24" s="410" t="s">
        <v>33</v>
      </c>
      <c r="X24" s="410" t="s">
        <v>33</v>
      </c>
      <c r="Y24" s="410" t="s">
        <v>33</v>
      </c>
      <c r="Z24" s="410" t="s">
        <v>33</v>
      </c>
      <c r="AA24" s="410" t="s">
        <v>33</v>
      </c>
      <c r="AB24" s="410" t="s">
        <v>33</v>
      </c>
      <c r="AC24" s="410" t="s">
        <v>33</v>
      </c>
      <c r="AD24" s="410" t="s">
        <v>33</v>
      </c>
      <c r="AE24" s="410" t="s">
        <v>33</v>
      </c>
      <c r="AF24" s="410" t="s">
        <v>33</v>
      </c>
      <c r="AG24" s="410" t="s">
        <v>33</v>
      </c>
      <c r="AH24" s="410" t="s">
        <v>33</v>
      </c>
      <c r="AI24" s="410" t="s">
        <v>33</v>
      </c>
      <c r="AJ24" s="410" t="s">
        <v>33</v>
      </c>
      <c r="AK24" s="410" t="s">
        <v>33</v>
      </c>
      <c r="AL24" s="410" t="s">
        <v>33</v>
      </c>
      <c r="AM24" s="410" t="s">
        <v>33</v>
      </c>
      <c r="AN24" s="410" t="s">
        <v>33</v>
      </c>
      <c r="AO24" s="410" t="s">
        <v>33</v>
      </c>
      <c r="AP24" s="410" t="s">
        <v>33</v>
      </c>
      <c r="AQ24" s="410" t="s">
        <v>33</v>
      </c>
      <c r="AR24" s="410" t="s">
        <v>33</v>
      </c>
      <c r="AS24" s="410" t="s">
        <v>33</v>
      </c>
      <c r="AT24" s="410" t="s">
        <v>33</v>
      </c>
      <c r="AU24" s="410" t="s">
        <v>33</v>
      </c>
      <c r="AV24" s="410" t="s">
        <v>33</v>
      </c>
      <c r="AW24" s="410" t="s">
        <v>33</v>
      </c>
      <c r="AX24" s="410" t="s">
        <v>33</v>
      </c>
      <c r="AY24" s="410" t="s">
        <v>33</v>
      </c>
      <c r="AZ24" s="410" t="s">
        <v>33</v>
      </c>
      <c r="BA24" s="410" t="s">
        <v>33</v>
      </c>
      <c r="BB24" s="410" t="s">
        <v>33</v>
      </c>
      <c r="BC24" s="410" t="s">
        <v>33</v>
      </c>
      <c r="BD24" s="410" t="s">
        <v>33</v>
      </c>
      <c r="BE24" s="410" t="s">
        <v>33</v>
      </c>
      <c r="BF24" s="410" t="s">
        <v>33</v>
      </c>
      <c r="BG24" s="410" t="s">
        <v>33</v>
      </c>
      <c r="BH24" s="410" t="s">
        <v>33</v>
      </c>
      <c r="BI24" s="410" t="s">
        <v>33</v>
      </c>
      <c r="BJ24" s="410" t="s">
        <v>33</v>
      </c>
      <c r="BK24" s="410" t="s">
        <v>33</v>
      </c>
      <c r="BL24" s="410" t="s">
        <v>33</v>
      </c>
      <c r="BM24" s="410" t="s">
        <v>33</v>
      </c>
      <c r="BN24" s="410" t="s">
        <v>33</v>
      </c>
      <c r="BO24" s="410" t="s">
        <v>33</v>
      </c>
      <c r="BP24" s="410" t="s">
        <v>33</v>
      </c>
      <c r="BQ24" s="410" t="s">
        <v>33</v>
      </c>
      <c r="BR24" s="410" t="s">
        <v>33</v>
      </c>
      <c r="BS24" s="410" t="s">
        <v>33</v>
      </c>
      <c r="BT24" s="410" t="s">
        <v>33</v>
      </c>
      <c r="BU24" s="410" t="s">
        <v>33</v>
      </c>
      <c r="BV24" s="410" t="s">
        <v>33</v>
      </c>
      <c r="BW24" s="410" t="s">
        <v>33</v>
      </c>
      <c r="BX24" s="410" t="s">
        <v>33</v>
      </c>
      <c r="BY24" s="410" t="s">
        <v>33</v>
      </c>
      <c r="BZ24" s="410" t="s">
        <v>33</v>
      </c>
      <c r="CA24" s="410" t="s">
        <v>33</v>
      </c>
      <c r="CB24" s="410" t="s">
        <v>33</v>
      </c>
      <c r="CC24" s="410" t="s">
        <v>33</v>
      </c>
      <c r="CD24" s="410" t="s">
        <v>33</v>
      </c>
      <c r="CE24" s="410" t="s">
        <v>33</v>
      </c>
      <c r="CF24" s="410" t="s">
        <v>33</v>
      </c>
      <c r="CG24" s="410">
        <f>D24</f>
        <v>10.683033950518029</v>
      </c>
      <c r="CH24" s="410" t="s">
        <v>33</v>
      </c>
      <c r="CI24" s="410" t="s">
        <v>33</v>
      </c>
      <c r="CJ24" s="410" t="s">
        <v>33</v>
      </c>
      <c r="CK24" s="410" t="s">
        <v>33</v>
      </c>
      <c r="CL24" s="410" t="s">
        <v>33</v>
      </c>
      <c r="CM24" s="410" t="s">
        <v>33</v>
      </c>
      <c r="CN24" s="410" t="s">
        <v>33</v>
      </c>
      <c r="CO24" s="410">
        <f>E24</f>
        <v>10.683033950518029</v>
      </c>
      <c r="CP24" s="410" t="s">
        <v>33</v>
      </c>
      <c r="CQ24" s="410" t="s">
        <v>33</v>
      </c>
      <c r="CR24" s="410" t="s">
        <v>33</v>
      </c>
      <c r="CS24" s="410" t="s">
        <v>33</v>
      </c>
      <c r="CT24" s="410" t="s">
        <v>33</v>
      </c>
      <c r="CU24" s="410" t="s">
        <v>33</v>
      </c>
      <c r="CV24" s="410" t="s">
        <v>33</v>
      </c>
      <c r="CW24" s="410">
        <f t="shared" si="26"/>
        <v>10.683033950518029</v>
      </c>
      <c r="CX24" s="410" t="s">
        <v>33</v>
      </c>
      <c r="CY24" s="410" t="s">
        <v>33</v>
      </c>
      <c r="CZ24" s="410" t="s">
        <v>33</v>
      </c>
      <c r="DA24" s="410" t="s">
        <v>33</v>
      </c>
      <c r="DB24" s="410" t="s">
        <v>33</v>
      </c>
      <c r="DC24" s="410" t="s">
        <v>33</v>
      </c>
      <c r="DD24" s="410" t="s">
        <v>33</v>
      </c>
      <c r="DE24" s="410">
        <f t="shared" si="27"/>
        <v>10.683033950518029</v>
      </c>
      <c r="DF24" s="410" t="s">
        <v>33</v>
      </c>
      <c r="DG24" s="410" t="s">
        <v>33</v>
      </c>
      <c r="DH24" s="410" t="s">
        <v>33</v>
      </c>
      <c r="DI24" s="410" t="s">
        <v>33</v>
      </c>
      <c r="DJ24" s="410" t="s">
        <v>33</v>
      </c>
      <c r="DK24" s="410" t="s">
        <v>33</v>
      </c>
      <c r="DL24" s="410" t="s">
        <v>33</v>
      </c>
    </row>
    <row r="25" spans="1:116" s="490" customFormat="1" ht="31.5" x14ac:dyDescent="0.25">
      <c r="A25" s="124" t="s">
        <v>41</v>
      </c>
      <c r="B25" s="39" t="s">
        <v>42</v>
      </c>
      <c r="C25" s="442" t="str">
        <f>C26</f>
        <v>нд</v>
      </c>
      <c r="D25" s="442">
        <f>D26</f>
        <v>10.333513230268107</v>
      </c>
      <c r="E25" s="442">
        <f>E26</f>
        <v>17.68159383234962</v>
      </c>
      <c r="F25" s="442" t="str">
        <f t="shared" ref="F25:BP25" si="28">F26</f>
        <v>нд</v>
      </c>
      <c r="G25" s="442" t="str">
        <f t="shared" si="28"/>
        <v>нд</v>
      </c>
      <c r="H25" s="442" t="str">
        <f t="shared" si="28"/>
        <v>нд</v>
      </c>
      <c r="I25" s="442" t="str">
        <f t="shared" si="28"/>
        <v>нд</v>
      </c>
      <c r="J25" s="442" t="str">
        <f t="shared" si="28"/>
        <v>нд</v>
      </c>
      <c r="K25" s="442" t="str">
        <f t="shared" si="28"/>
        <v>нд</v>
      </c>
      <c r="L25" s="442" t="str">
        <f t="shared" si="28"/>
        <v>нд</v>
      </c>
      <c r="M25" s="442" t="str">
        <f t="shared" si="28"/>
        <v>нд</v>
      </c>
      <c r="N25" s="442" t="str">
        <f t="shared" si="28"/>
        <v>нд</v>
      </c>
      <c r="O25" s="442" t="str">
        <f t="shared" si="28"/>
        <v>нд</v>
      </c>
      <c r="P25" s="442" t="str">
        <f t="shared" si="28"/>
        <v>нд</v>
      </c>
      <c r="Q25" s="442" t="str">
        <f t="shared" si="28"/>
        <v>нд</v>
      </c>
      <c r="R25" s="442" t="str">
        <f t="shared" si="28"/>
        <v>нд</v>
      </c>
      <c r="S25" s="442" t="str">
        <f t="shared" si="28"/>
        <v>нд</v>
      </c>
      <c r="T25" s="442" t="str">
        <f t="shared" si="28"/>
        <v>нд</v>
      </c>
      <c r="U25" s="442" t="str">
        <f t="shared" si="28"/>
        <v>нд</v>
      </c>
      <c r="V25" s="442" t="str">
        <f t="shared" si="28"/>
        <v>нд</v>
      </c>
      <c r="W25" s="442" t="str">
        <f t="shared" si="28"/>
        <v>нд</v>
      </c>
      <c r="X25" s="442" t="str">
        <f t="shared" si="28"/>
        <v>нд</v>
      </c>
      <c r="Y25" s="442" t="str">
        <f t="shared" si="28"/>
        <v>нд</v>
      </c>
      <c r="Z25" s="442" t="str">
        <f t="shared" si="28"/>
        <v>нд</v>
      </c>
      <c r="AA25" s="442" t="str">
        <f t="shared" si="28"/>
        <v>нд</v>
      </c>
      <c r="AB25" s="442" t="str">
        <f t="shared" si="28"/>
        <v>нд</v>
      </c>
      <c r="AC25" s="442" t="str">
        <f t="shared" si="28"/>
        <v>нд</v>
      </c>
      <c r="AD25" s="442" t="str">
        <f t="shared" si="28"/>
        <v>нд</v>
      </c>
      <c r="AE25" s="442" t="str">
        <f t="shared" si="28"/>
        <v>нд</v>
      </c>
      <c r="AF25" s="442" t="str">
        <f t="shared" si="28"/>
        <v>нд</v>
      </c>
      <c r="AG25" s="442" t="str">
        <f t="shared" si="28"/>
        <v>нд</v>
      </c>
      <c r="AH25" s="442" t="str">
        <f t="shared" si="28"/>
        <v>нд</v>
      </c>
      <c r="AI25" s="442" t="str">
        <f t="shared" si="28"/>
        <v>нд</v>
      </c>
      <c r="AJ25" s="442" t="str">
        <f t="shared" si="28"/>
        <v>нд</v>
      </c>
      <c r="AK25" s="442">
        <f t="shared" si="28"/>
        <v>6.8267619266116659</v>
      </c>
      <c r="AL25" s="442">
        <f t="shared" si="28"/>
        <v>0.25</v>
      </c>
      <c r="AM25" s="442" t="str">
        <f t="shared" si="28"/>
        <v>нд</v>
      </c>
      <c r="AN25" s="442">
        <f t="shared" si="28"/>
        <v>3.95</v>
      </c>
      <c r="AO25" s="442" t="str">
        <f t="shared" si="28"/>
        <v>нд</v>
      </c>
      <c r="AP25" s="442" t="str">
        <f t="shared" si="28"/>
        <v>нд</v>
      </c>
      <c r="AQ25" s="442" t="str">
        <f t="shared" si="28"/>
        <v>нд</v>
      </c>
      <c r="AR25" s="442" t="str">
        <f t="shared" si="28"/>
        <v>нд</v>
      </c>
      <c r="AS25" s="442">
        <f t="shared" si="28"/>
        <v>5.3670154700000001</v>
      </c>
      <c r="AT25" s="442">
        <f t="shared" si="28"/>
        <v>0.25</v>
      </c>
      <c r="AU25" s="442" t="str">
        <f t="shared" si="28"/>
        <v>нд</v>
      </c>
      <c r="AV25" s="442">
        <f t="shared" si="28"/>
        <v>3.3</v>
      </c>
      <c r="AW25" s="442" t="str">
        <f t="shared" si="28"/>
        <v>нд</v>
      </c>
      <c r="AX25" s="442" t="str">
        <f t="shared" si="28"/>
        <v>нд</v>
      </c>
      <c r="AY25" s="442" t="str">
        <f t="shared" si="28"/>
        <v>нд</v>
      </c>
      <c r="AZ25" s="442" t="str">
        <f t="shared" si="28"/>
        <v>нд</v>
      </c>
      <c r="BA25" s="442">
        <f t="shared" si="28"/>
        <v>1.7064793822668198</v>
      </c>
      <c r="BB25" s="442" t="str">
        <f t="shared" si="28"/>
        <v>нд</v>
      </c>
      <c r="BC25" s="442" t="str">
        <f t="shared" si="28"/>
        <v>нд</v>
      </c>
      <c r="BD25" s="442">
        <f t="shared" si="28"/>
        <v>1.5669999999999999</v>
      </c>
      <c r="BE25" s="442" t="str">
        <f t="shared" si="28"/>
        <v>нд</v>
      </c>
      <c r="BF25" s="442" t="str">
        <f t="shared" si="28"/>
        <v>нд</v>
      </c>
      <c r="BG25" s="442" t="str">
        <f t="shared" si="28"/>
        <v>нд</v>
      </c>
      <c r="BH25" s="442" t="str">
        <f t="shared" si="28"/>
        <v>нд</v>
      </c>
      <c r="BI25" s="442">
        <f>BI26</f>
        <v>10.51430644096</v>
      </c>
      <c r="BJ25" s="442" t="str">
        <f t="shared" si="28"/>
        <v>нд</v>
      </c>
      <c r="BK25" s="442" t="str">
        <f t="shared" si="28"/>
        <v>нд</v>
      </c>
      <c r="BL25" s="442">
        <f>BL26</f>
        <v>3.24715</v>
      </c>
      <c r="BM25" s="442" t="str">
        <f t="shared" si="28"/>
        <v>нд</v>
      </c>
      <c r="BN25" s="442" t="str">
        <f t="shared" si="28"/>
        <v>нд</v>
      </c>
      <c r="BO25" s="442" t="str">
        <f t="shared" si="28"/>
        <v>нд</v>
      </c>
      <c r="BP25" s="442" t="str">
        <f t="shared" si="28"/>
        <v>нд</v>
      </c>
      <c r="BQ25" s="442">
        <f t="shared" ref="BQ25:DL26" si="29">BQ26</f>
        <v>1.8002719213896201</v>
      </c>
      <c r="BR25" s="442">
        <f t="shared" si="29"/>
        <v>0.16</v>
      </c>
      <c r="BS25" s="442" t="str">
        <f t="shared" si="29"/>
        <v>нд</v>
      </c>
      <c r="BT25" s="442">
        <f t="shared" si="29"/>
        <v>2.0659999999999998</v>
      </c>
      <c r="BU25" s="442" t="str">
        <f t="shared" si="29"/>
        <v>нд</v>
      </c>
      <c r="BV25" s="442" t="str">
        <f t="shared" si="29"/>
        <v>нд</v>
      </c>
      <c r="BW25" s="442" t="str">
        <f t="shared" si="29"/>
        <v>нд</v>
      </c>
      <c r="BX25" s="442" t="str">
        <f t="shared" si="29"/>
        <v>нд</v>
      </c>
      <c r="BY25" s="442">
        <f t="shared" si="29"/>
        <v>1.8002719213896201</v>
      </c>
      <c r="BZ25" s="442">
        <f t="shared" si="29"/>
        <v>0.16</v>
      </c>
      <c r="CA25" s="442" t="str">
        <f t="shared" si="29"/>
        <v>нд</v>
      </c>
      <c r="CB25" s="442">
        <f t="shared" si="29"/>
        <v>2.0659999999999998</v>
      </c>
      <c r="CC25" s="442" t="str">
        <f t="shared" si="29"/>
        <v>нд</v>
      </c>
      <c r="CD25" s="442" t="str">
        <f t="shared" si="29"/>
        <v>нд</v>
      </c>
      <c r="CE25" s="442" t="str">
        <f t="shared" si="29"/>
        <v>нд</v>
      </c>
      <c r="CF25" s="442" t="str">
        <f t="shared" si="29"/>
        <v>нд</v>
      </c>
      <c r="CG25" s="442" t="str">
        <f t="shared" si="29"/>
        <v>нд</v>
      </c>
      <c r="CH25" s="442" t="str">
        <f t="shared" si="29"/>
        <v>нд</v>
      </c>
      <c r="CI25" s="442" t="str">
        <f t="shared" si="29"/>
        <v>нд</v>
      </c>
      <c r="CJ25" s="442" t="str">
        <f t="shared" si="29"/>
        <v>нд</v>
      </c>
      <c r="CK25" s="442" t="str">
        <f t="shared" si="29"/>
        <v>нд</v>
      </c>
      <c r="CL25" s="442" t="str">
        <f t="shared" si="29"/>
        <v>нд</v>
      </c>
      <c r="CM25" s="442" t="str">
        <f t="shared" si="29"/>
        <v>нд</v>
      </c>
      <c r="CN25" s="442" t="str">
        <f t="shared" si="29"/>
        <v>нд</v>
      </c>
      <c r="CO25" s="442" t="str">
        <f t="shared" si="29"/>
        <v>нд</v>
      </c>
      <c r="CP25" s="442" t="str">
        <f t="shared" si="29"/>
        <v>нд</v>
      </c>
      <c r="CQ25" s="442" t="str">
        <f t="shared" si="29"/>
        <v>нд</v>
      </c>
      <c r="CR25" s="442" t="str">
        <f t="shared" si="29"/>
        <v>нд</v>
      </c>
      <c r="CS25" s="442" t="str">
        <f t="shared" si="29"/>
        <v>нд</v>
      </c>
      <c r="CT25" s="442" t="str">
        <f t="shared" si="29"/>
        <v>нд</v>
      </c>
      <c r="CU25" s="442" t="str">
        <f t="shared" si="29"/>
        <v>нд</v>
      </c>
      <c r="CV25" s="442" t="str">
        <f t="shared" si="29"/>
        <v>нд</v>
      </c>
      <c r="CW25" s="442">
        <f t="shared" si="29"/>
        <v>10.333513230268107</v>
      </c>
      <c r="CX25" s="442">
        <f t="shared" si="29"/>
        <v>0.41000000000000003</v>
      </c>
      <c r="CY25" s="442" t="str">
        <f t="shared" si="29"/>
        <v>нд</v>
      </c>
      <c r="CZ25" s="442">
        <f t="shared" si="29"/>
        <v>7.5830000000000002</v>
      </c>
      <c r="DA25" s="442" t="str">
        <f t="shared" si="29"/>
        <v>нд</v>
      </c>
      <c r="DB25" s="442" t="str">
        <f t="shared" si="29"/>
        <v>нд</v>
      </c>
      <c r="DC25" s="442" t="str">
        <f t="shared" si="29"/>
        <v>нд</v>
      </c>
      <c r="DD25" s="442" t="str">
        <f t="shared" si="29"/>
        <v>нд</v>
      </c>
      <c r="DE25" s="442">
        <f>DE26</f>
        <v>17.68159383234962</v>
      </c>
      <c r="DF25" s="442">
        <f t="shared" si="29"/>
        <v>0.41000000000000003</v>
      </c>
      <c r="DG25" s="442" t="str">
        <f t="shared" si="29"/>
        <v>нд</v>
      </c>
      <c r="DH25" s="442">
        <f>DH26</f>
        <v>8.613150000000001</v>
      </c>
      <c r="DI25" s="442" t="str">
        <f t="shared" si="29"/>
        <v>нд</v>
      </c>
      <c r="DJ25" s="442" t="str">
        <f t="shared" si="29"/>
        <v>нд</v>
      </c>
      <c r="DK25" s="442" t="str">
        <f t="shared" si="29"/>
        <v>нд</v>
      </c>
      <c r="DL25" s="442" t="str">
        <f t="shared" si="29"/>
        <v>нд</v>
      </c>
    </row>
    <row r="26" spans="1:116" s="491" customFormat="1" x14ac:dyDescent="0.25">
      <c r="A26" s="127" t="s">
        <v>49</v>
      </c>
      <c r="B26" s="10" t="s">
        <v>50</v>
      </c>
      <c r="C26" s="444" t="s">
        <v>33</v>
      </c>
      <c r="D26" s="444">
        <f>SUM(D27:D31)</f>
        <v>10.333513230268107</v>
      </c>
      <c r="E26" s="444">
        <f>SUM(E27:E31)</f>
        <v>17.68159383234962</v>
      </c>
      <c r="F26" s="444" t="s">
        <v>33</v>
      </c>
      <c r="G26" s="444" t="s">
        <v>33</v>
      </c>
      <c r="H26" s="444" t="s">
        <v>33</v>
      </c>
      <c r="I26" s="444" t="s">
        <v>33</v>
      </c>
      <c r="J26" s="444" t="s">
        <v>33</v>
      </c>
      <c r="K26" s="444" t="s">
        <v>33</v>
      </c>
      <c r="L26" s="444" t="s">
        <v>33</v>
      </c>
      <c r="M26" s="444" t="s">
        <v>33</v>
      </c>
      <c r="N26" s="444" t="s">
        <v>33</v>
      </c>
      <c r="O26" s="444" t="s">
        <v>33</v>
      </c>
      <c r="P26" s="444" t="s">
        <v>33</v>
      </c>
      <c r="Q26" s="444" t="s">
        <v>33</v>
      </c>
      <c r="R26" s="444" t="s">
        <v>33</v>
      </c>
      <c r="S26" s="444" t="s">
        <v>33</v>
      </c>
      <c r="T26" s="444" t="s">
        <v>33</v>
      </c>
      <c r="U26" s="444" t="s">
        <v>33</v>
      </c>
      <c r="V26" s="444" t="s">
        <v>33</v>
      </c>
      <c r="W26" s="444" t="s">
        <v>33</v>
      </c>
      <c r="X26" s="444" t="s">
        <v>33</v>
      </c>
      <c r="Y26" s="444" t="s">
        <v>33</v>
      </c>
      <c r="Z26" s="444" t="s">
        <v>33</v>
      </c>
      <c r="AA26" s="444" t="s">
        <v>33</v>
      </c>
      <c r="AB26" s="444" t="s">
        <v>33</v>
      </c>
      <c r="AC26" s="444" t="s">
        <v>33</v>
      </c>
      <c r="AD26" s="444" t="s">
        <v>33</v>
      </c>
      <c r="AE26" s="444" t="s">
        <v>33</v>
      </c>
      <c r="AF26" s="444" t="s">
        <v>33</v>
      </c>
      <c r="AG26" s="444" t="s">
        <v>33</v>
      </c>
      <c r="AH26" s="444" t="s">
        <v>33</v>
      </c>
      <c r="AI26" s="444" t="s">
        <v>33</v>
      </c>
      <c r="AJ26" s="444" t="s">
        <v>33</v>
      </c>
      <c r="AK26" s="444">
        <f t="shared" ref="AK26:BD26" si="30">SUM(AK27:AK31)</f>
        <v>6.8267619266116659</v>
      </c>
      <c r="AL26" s="444">
        <f t="shared" ref="AL26" si="31">SUM(AL27:AL31)</f>
        <v>0.25</v>
      </c>
      <c r="AM26" s="444" t="s">
        <v>33</v>
      </c>
      <c r="AN26" s="444">
        <f t="shared" si="30"/>
        <v>3.95</v>
      </c>
      <c r="AO26" s="444" t="s">
        <v>33</v>
      </c>
      <c r="AP26" s="444" t="s">
        <v>33</v>
      </c>
      <c r="AQ26" s="444" t="s">
        <v>33</v>
      </c>
      <c r="AR26" s="444" t="s">
        <v>33</v>
      </c>
      <c r="AS26" s="444">
        <f t="shared" ref="AS26" si="32">SUM(AS27:AS31)</f>
        <v>5.3670154700000001</v>
      </c>
      <c r="AT26" s="444">
        <f t="shared" ref="AT26:AV26" si="33">SUM(AT27:AT31)</f>
        <v>0.25</v>
      </c>
      <c r="AU26" s="444" t="s">
        <v>33</v>
      </c>
      <c r="AV26" s="444">
        <f t="shared" si="33"/>
        <v>3.3</v>
      </c>
      <c r="AW26" s="444" t="s">
        <v>33</v>
      </c>
      <c r="AX26" s="444" t="s">
        <v>33</v>
      </c>
      <c r="AY26" s="444" t="s">
        <v>33</v>
      </c>
      <c r="AZ26" s="444" t="s">
        <v>33</v>
      </c>
      <c r="BA26" s="444">
        <f t="shared" si="30"/>
        <v>1.7064793822668198</v>
      </c>
      <c r="BB26" s="444" t="s">
        <v>33</v>
      </c>
      <c r="BC26" s="444" t="s">
        <v>33</v>
      </c>
      <c r="BD26" s="444">
        <f t="shared" si="30"/>
        <v>1.5669999999999999</v>
      </c>
      <c r="BE26" s="444" t="s">
        <v>33</v>
      </c>
      <c r="BF26" s="444" t="s">
        <v>33</v>
      </c>
      <c r="BG26" s="444" t="s">
        <v>33</v>
      </c>
      <c r="BH26" s="444" t="s">
        <v>33</v>
      </c>
      <c r="BI26" s="444">
        <f>SUM(BI27:BI31)</f>
        <v>10.51430644096</v>
      </c>
      <c r="BJ26" s="444" t="s">
        <v>33</v>
      </c>
      <c r="BK26" s="444" t="s">
        <v>33</v>
      </c>
      <c r="BL26" s="444">
        <f>SUM(BL27:BL31)</f>
        <v>3.24715</v>
      </c>
      <c r="BM26" s="444" t="s">
        <v>33</v>
      </c>
      <c r="BN26" s="444" t="s">
        <v>33</v>
      </c>
      <c r="BO26" s="444" t="s">
        <v>33</v>
      </c>
      <c r="BP26" s="444" t="s">
        <v>33</v>
      </c>
      <c r="BQ26" s="444">
        <f t="shared" ref="BQ26:CW26" si="34">SUM(BQ27:BQ31)</f>
        <v>1.8002719213896201</v>
      </c>
      <c r="BR26" s="444">
        <f t="shared" ref="BR26" si="35">SUM(BR27:BR31)</f>
        <v>0.16</v>
      </c>
      <c r="BS26" s="451" t="s">
        <v>33</v>
      </c>
      <c r="BT26" s="444">
        <f t="shared" si="34"/>
        <v>2.0659999999999998</v>
      </c>
      <c r="BU26" s="451" t="s">
        <v>33</v>
      </c>
      <c r="BV26" s="451" t="s">
        <v>33</v>
      </c>
      <c r="BW26" s="451" t="s">
        <v>33</v>
      </c>
      <c r="BX26" s="451" t="s">
        <v>33</v>
      </c>
      <c r="BY26" s="444">
        <f t="shared" ref="BY26:BZ26" si="36">SUM(BY27:BY31)</f>
        <v>1.8002719213896201</v>
      </c>
      <c r="BZ26" s="444">
        <f t="shared" si="36"/>
        <v>0.16</v>
      </c>
      <c r="CA26" s="451" t="s">
        <v>33</v>
      </c>
      <c r="CB26" s="444">
        <f t="shared" ref="CB26" si="37">SUM(CB27:CB31)</f>
        <v>2.0659999999999998</v>
      </c>
      <c r="CC26" s="451" t="s">
        <v>33</v>
      </c>
      <c r="CD26" s="451" t="s">
        <v>33</v>
      </c>
      <c r="CE26" s="451" t="s">
        <v>33</v>
      </c>
      <c r="CF26" s="444" t="s">
        <v>33</v>
      </c>
      <c r="CG26" s="444" t="s">
        <v>33</v>
      </c>
      <c r="CH26" s="444" t="s">
        <v>33</v>
      </c>
      <c r="CI26" s="444" t="s">
        <v>33</v>
      </c>
      <c r="CJ26" s="444" t="s">
        <v>33</v>
      </c>
      <c r="CK26" s="444" t="s">
        <v>33</v>
      </c>
      <c r="CL26" s="444" t="s">
        <v>33</v>
      </c>
      <c r="CM26" s="444" t="s">
        <v>33</v>
      </c>
      <c r="CN26" s="444" t="s">
        <v>33</v>
      </c>
      <c r="CO26" s="444" t="s">
        <v>33</v>
      </c>
      <c r="CP26" s="444" t="s">
        <v>33</v>
      </c>
      <c r="CQ26" s="444" t="s">
        <v>33</v>
      </c>
      <c r="CR26" s="444" t="s">
        <v>33</v>
      </c>
      <c r="CS26" s="444" t="s">
        <v>33</v>
      </c>
      <c r="CT26" s="444" t="s">
        <v>33</v>
      </c>
      <c r="CU26" s="444" t="s">
        <v>33</v>
      </c>
      <c r="CV26" s="444" t="s">
        <v>33</v>
      </c>
      <c r="CW26" s="444">
        <f t="shared" si="34"/>
        <v>10.333513230268107</v>
      </c>
      <c r="CX26" s="444">
        <f t="shared" ref="CX26" si="38">SUM(CX27:CX31)</f>
        <v>0.41000000000000003</v>
      </c>
      <c r="CY26" s="444" t="str">
        <f>CY27</f>
        <v>нд</v>
      </c>
      <c r="CZ26" s="444">
        <f>SUM(CZ27:CZ31)</f>
        <v>7.5830000000000002</v>
      </c>
      <c r="DA26" s="444" t="str">
        <f>DA27</f>
        <v>нд</v>
      </c>
      <c r="DB26" s="444" t="str">
        <f>DB27</f>
        <v>нд</v>
      </c>
      <c r="DC26" s="444" t="str">
        <f>DC27</f>
        <v>нд</v>
      </c>
      <c r="DD26" s="444" t="str">
        <f t="shared" si="29"/>
        <v>нд</v>
      </c>
      <c r="DE26" s="444">
        <f>SUM(DE27:DE31)</f>
        <v>17.68159383234962</v>
      </c>
      <c r="DF26" s="444">
        <f t="shared" ref="DF26" si="39">SUM(DF27:DF31)</f>
        <v>0.41000000000000003</v>
      </c>
      <c r="DG26" s="444" t="str">
        <f t="shared" si="29"/>
        <v>нд</v>
      </c>
      <c r="DH26" s="444">
        <f>SUM(DH27:DH31)</f>
        <v>8.613150000000001</v>
      </c>
      <c r="DI26" s="444" t="str">
        <f t="shared" si="29"/>
        <v>нд</v>
      </c>
      <c r="DJ26" s="444" t="str">
        <f t="shared" si="29"/>
        <v>нд</v>
      </c>
      <c r="DK26" s="444" t="str">
        <f t="shared" si="29"/>
        <v>нд</v>
      </c>
      <c r="DL26" s="444" t="str">
        <f t="shared" si="29"/>
        <v>нд</v>
      </c>
    </row>
    <row r="27" spans="1:116" s="492" customFormat="1" ht="51.75" customHeight="1" x14ac:dyDescent="0.25">
      <c r="A27" s="13" t="s">
        <v>51</v>
      </c>
      <c r="B27" s="236" t="s">
        <v>650</v>
      </c>
      <c r="C27" s="410" t="s">
        <v>1329</v>
      </c>
      <c r="D27" s="410">
        <f>Ф3!K25</f>
        <v>6.8267619266116659</v>
      </c>
      <c r="E27" s="410">
        <f>Ф3!P25</f>
        <v>5.3670154700000001</v>
      </c>
      <c r="F27" s="410" t="s">
        <v>33</v>
      </c>
      <c r="G27" s="410" t="s">
        <v>33</v>
      </c>
      <c r="H27" s="410" t="s">
        <v>33</v>
      </c>
      <c r="I27" s="410" t="s">
        <v>33</v>
      </c>
      <c r="J27" s="410" t="s">
        <v>33</v>
      </c>
      <c r="K27" s="410" t="s">
        <v>33</v>
      </c>
      <c r="L27" s="410" t="s">
        <v>33</v>
      </c>
      <c r="M27" s="410" t="s">
        <v>33</v>
      </c>
      <c r="N27" s="410" t="s">
        <v>33</v>
      </c>
      <c r="O27" s="410" t="s">
        <v>33</v>
      </c>
      <c r="P27" s="410" t="s">
        <v>33</v>
      </c>
      <c r="Q27" s="410" t="s">
        <v>33</v>
      </c>
      <c r="R27" s="410" t="s">
        <v>33</v>
      </c>
      <c r="S27" s="410" t="s">
        <v>33</v>
      </c>
      <c r="T27" s="410" t="s">
        <v>33</v>
      </c>
      <c r="U27" s="410" t="s">
        <v>33</v>
      </c>
      <c r="V27" s="410" t="s">
        <v>33</v>
      </c>
      <c r="W27" s="410" t="s">
        <v>33</v>
      </c>
      <c r="X27" s="410" t="s">
        <v>33</v>
      </c>
      <c r="Y27" s="410" t="s">
        <v>33</v>
      </c>
      <c r="Z27" s="410" t="s">
        <v>33</v>
      </c>
      <c r="AA27" s="410" t="s">
        <v>33</v>
      </c>
      <c r="AB27" s="410" t="s">
        <v>33</v>
      </c>
      <c r="AC27" s="410" t="s">
        <v>33</v>
      </c>
      <c r="AD27" s="410" t="s">
        <v>33</v>
      </c>
      <c r="AE27" s="410" t="s">
        <v>33</v>
      </c>
      <c r="AF27" s="410" t="s">
        <v>33</v>
      </c>
      <c r="AG27" s="410" t="s">
        <v>33</v>
      </c>
      <c r="AH27" s="410" t="s">
        <v>33</v>
      </c>
      <c r="AI27" s="410" t="s">
        <v>33</v>
      </c>
      <c r="AJ27" s="410" t="s">
        <v>33</v>
      </c>
      <c r="AK27" s="410">
        <f>D27</f>
        <v>6.8267619266116659</v>
      </c>
      <c r="AL27" s="508">
        <f>'Ф1 2023'!K25</f>
        <v>0.25</v>
      </c>
      <c r="AM27" s="410" t="s">
        <v>33</v>
      </c>
      <c r="AN27" s="514">
        <v>3.95</v>
      </c>
      <c r="AO27" s="410" t="s">
        <v>33</v>
      </c>
      <c r="AP27" s="410" t="s">
        <v>33</v>
      </c>
      <c r="AQ27" s="410" t="s">
        <v>33</v>
      </c>
      <c r="AR27" s="410" t="s">
        <v>33</v>
      </c>
      <c r="AS27" s="410">
        <f>E27</f>
        <v>5.3670154700000001</v>
      </c>
      <c r="AT27" s="410">
        <f>AL27</f>
        <v>0.25</v>
      </c>
      <c r="AU27" s="410" t="s">
        <v>33</v>
      </c>
      <c r="AV27" s="514">
        <v>3.3</v>
      </c>
      <c r="AW27" s="410" t="s">
        <v>33</v>
      </c>
      <c r="AX27" s="410" t="s">
        <v>33</v>
      </c>
      <c r="AY27" s="410" t="s">
        <v>33</v>
      </c>
      <c r="AZ27" s="410" t="s">
        <v>33</v>
      </c>
      <c r="BA27" s="410" t="s">
        <v>33</v>
      </c>
      <c r="BB27" s="410" t="s">
        <v>33</v>
      </c>
      <c r="BC27" s="410" t="s">
        <v>33</v>
      </c>
      <c r="BD27" s="410" t="s">
        <v>33</v>
      </c>
      <c r="BE27" s="410" t="s">
        <v>33</v>
      </c>
      <c r="BF27" s="410" t="s">
        <v>33</v>
      </c>
      <c r="BG27" s="410" t="s">
        <v>33</v>
      </c>
      <c r="BH27" s="410" t="s">
        <v>33</v>
      </c>
      <c r="BI27" s="410" t="s">
        <v>33</v>
      </c>
      <c r="BJ27" s="410" t="s">
        <v>33</v>
      </c>
      <c r="BK27" s="410" t="s">
        <v>33</v>
      </c>
      <c r="BL27" s="410" t="s">
        <v>33</v>
      </c>
      <c r="BM27" s="410" t="s">
        <v>33</v>
      </c>
      <c r="BN27" s="410" t="s">
        <v>33</v>
      </c>
      <c r="BO27" s="410" t="s">
        <v>33</v>
      </c>
      <c r="BP27" s="410" t="s">
        <v>33</v>
      </c>
      <c r="BQ27" s="410" t="s">
        <v>33</v>
      </c>
      <c r="BR27" s="410" t="s">
        <v>33</v>
      </c>
      <c r="BS27" s="410" t="s">
        <v>33</v>
      </c>
      <c r="BT27" s="410" t="s">
        <v>33</v>
      </c>
      <c r="BU27" s="410" t="s">
        <v>33</v>
      </c>
      <c r="BV27" s="410" t="s">
        <v>33</v>
      </c>
      <c r="BW27" s="410" t="s">
        <v>33</v>
      </c>
      <c r="BX27" s="410" t="s">
        <v>33</v>
      </c>
      <c r="BY27" s="410" t="s">
        <v>33</v>
      </c>
      <c r="BZ27" s="410" t="s">
        <v>33</v>
      </c>
      <c r="CA27" s="410" t="s">
        <v>33</v>
      </c>
      <c r="CB27" s="410" t="s">
        <v>33</v>
      </c>
      <c r="CC27" s="410" t="s">
        <v>33</v>
      </c>
      <c r="CD27" s="410" t="s">
        <v>33</v>
      </c>
      <c r="CE27" s="410" t="s">
        <v>33</v>
      </c>
      <c r="CF27" s="410" t="s">
        <v>33</v>
      </c>
      <c r="CG27" s="410" t="s">
        <v>33</v>
      </c>
      <c r="CH27" s="410" t="s">
        <v>33</v>
      </c>
      <c r="CI27" s="410" t="s">
        <v>33</v>
      </c>
      <c r="CJ27" s="410" t="s">
        <v>33</v>
      </c>
      <c r="CK27" s="410" t="s">
        <v>33</v>
      </c>
      <c r="CL27" s="410" t="s">
        <v>33</v>
      </c>
      <c r="CM27" s="410" t="s">
        <v>33</v>
      </c>
      <c r="CN27" s="410" t="s">
        <v>33</v>
      </c>
      <c r="CO27" s="410" t="s">
        <v>33</v>
      </c>
      <c r="CP27" s="410" t="s">
        <v>33</v>
      </c>
      <c r="CQ27" s="410" t="s">
        <v>33</v>
      </c>
      <c r="CR27" s="410" t="s">
        <v>33</v>
      </c>
      <c r="CS27" s="410" t="s">
        <v>33</v>
      </c>
      <c r="CT27" s="410" t="s">
        <v>33</v>
      </c>
      <c r="CU27" s="410" t="s">
        <v>33</v>
      </c>
      <c r="CV27" s="410" t="s">
        <v>33</v>
      </c>
      <c r="CW27" s="410">
        <f>D27</f>
        <v>6.8267619266116659</v>
      </c>
      <c r="CX27" s="410">
        <f t="shared" ref="CX27:DC27" si="40">AL27</f>
        <v>0.25</v>
      </c>
      <c r="CY27" s="410" t="str">
        <f t="shared" si="40"/>
        <v>нд</v>
      </c>
      <c r="CZ27" s="514">
        <f t="shared" si="40"/>
        <v>3.95</v>
      </c>
      <c r="DA27" s="410" t="str">
        <f t="shared" si="40"/>
        <v>нд</v>
      </c>
      <c r="DB27" s="410" t="str">
        <f t="shared" si="40"/>
        <v>нд</v>
      </c>
      <c r="DC27" s="410" t="str">
        <f t="shared" si="40"/>
        <v>нд</v>
      </c>
      <c r="DD27" s="410" t="str">
        <f t="shared" ref="DD27:DL27" si="41">AR27</f>
        <v>нд</v>
      </c>
      <c r="DE27" s="410">
        <f t="shared" si="41"/>
        <v>5.3670154700000001</v>
      </c>
      <c r="DF27" s="410">
        <f t="shared" si="41"/>
        <v>0.25</v>
      </c>
      <c r="DG27" s="410" t="str">
        <f t="shared" si="41"/>
        <v>нд</v>
      </c>
      <c r="DH27" s="514">
        <f t="shared" si="41"/>
        <v>3.3</v>
      </c>
      <c r="DI27" s="410" t="str">
        <f t="shared" si="41"/>
        <v>нд</v>
      </c>
      <c r="DJ27" s="410" t="str">
        <f t="shared" si="41"/>
        <v>нд</v>
      </c>
      <c r="DK27" s="410" t="str">
        <f t="shared" si="41"/>
        <v>нд</v>
      </c>
      <c r="DL27" s="410" t="str">
        <f t="shared" si="41"/>
        <v>нд</v>
      </c>
    </row>
    <row r="28" spans="1:116" s="493" customFormat="1" ht="21.75" customHeight="1" x14ac:dyDescent="0.25">
      <c r="A28" s="13" t="s">
        <v>578</v>
      </c>
      <c r="B28" s="236" t="s">
        <v>651</v>
      </c>
      <c r="C28" s="410" t="s">
        <v>1349</v>
      </c>
      <c r="D28" s="410">
        <f>Ф3!K26</f>
        <v>0.83454388374825994</v>
      </c>
      <c r="E28" s="410">
        <f>Ф3!P26</f>
        <v>0.93407663131999996</v>
      </c>
      <c r="F28" s="410" t="s">
        <v>33</v>
      </c>
      <c r="G28" s="410" t="s">
        <v>33</v>
      </c>
      <c r="H28" s="410" t="s">
        <v>33</v>
      </c>
      <c r="I28" s="410" t="s">
        <v>33</v>
      </c>
      <c r="J28" s="410" t="s">
        <v>33</v>
      </c>
      <c r="K28" s="410" t="s">
        <v>33</v>
      </c>
      <c r="L28" s="410" t="s">
        <v>33</v>
      </c>
      <c r="M28" s="410" t="s">
        <v>33</v>
      </c>
      <c r="N28" s="410" t="s">
        <v>33</v>
      </c>
      <c r="O28" s="410" t="s">
        <v>33</v>
      </c>
      <c r="P28" s="410" t="s">
        <v>33</v>
      </c>
      <c r="Q28" s="410" t="s">
        <v>33</v>
      </c>
      <c r="R28" s="410" t="s">
        <v>33</v>
      </c>
      <c r="S28" s="410" t="s">
        <v>33</v>
      </c>
      <c r="T28" s="410" t="s">
        <v>33</v>
      </c>
      <c r="U28" s="410" t="s">
        <v>33</v>
      </c>
      <c r="V28" s="410" t="s">
        <v>33</v>
      </c>
      <c r="W28" s="410" t="s">
        <v>33</v>
      </c>
      <c r="X28" s="410" t="s">
        <v>33</v>
      </c>
      <c r="Y28" s="410" t="s">
        <v>33</v>
      </c>
      <c r="Z28" s="410" t="s">
        <v>33</v>
      </c>
      <c r="AA28" s="410" t="s">
        <v>33</v>
      </c>
      <c r="AB28" s="410" t="s">
        <v>33</v>
      </c>
      <c r="AC28" s="410" t="s">
        <v>33</v>
      </c>
      <c r="AD28" s="410" t="s">
        <v>33</v>
      </c>
      <c r="AE28" s="410" t="s">
        <v>33</v>
      </c>
      <c r="AF28" s="410" t="s">
        <v>33</v>
      </c>
      <c r="AG28" s="410" t="s">
        <v>33</v>
      </c>
      <c r="AH28" s="410" t="s">
        <v>33</v>
      </c>
      <c r="AI28" s="410" t="s">
        <v>33</v>
      </c>
      <c r="AJ28" s="410" t="s">
        <v>33</v>
      </c>
      <c r="AK28" s="410" t="s">
        <v>33</v>
      </c>
      <c r="AL28" s="410" t="s">
        <v>33</v>
      </c>
      <c r="AM28" s="410" t="s">
        <v>33</v>
      </c>
      <c r="AN28" s="410" t="s">
        <v>33</v>
      </c>
      <c r="AO28" s="410" t="s">
        <v>33</v>
      </c>
      <c r="AP28" s="410" t="s">
        <v>33</v>
      </c>
      <c r="AQ28" s="410" t="s">
        <v>33</v>
      </c>
      <c r="AR28" s="410" t="s">
        <v>33</v>
      </c>
      <c r="AS28" s="410" t="s">
        <v>33</v>
      </c>
      <c r="AT28" s="410" t="s">
        <v>33</v>
      </c>
      <c r="AU28" s="410" t="s">
        <v>33</v>
      </c>
      <c r="AV28" s="410" t="s">
        <v>33</v>
      </c>
      <c r="AW28" s="410" t="s">
        <v>33</v>
      </c>
      <c r="AX28" s="410" t="s">
        <v>33</v>
      </c>
      <c r="AY28" s="410" t="s">
        <v>33</v>
      </c>
      <c r="AZ28" s="410" t="s">
        <v>33</v>
      </c>
      <c r="BA28" s="410">
        <f>D28</f>
        <v>0.83454388374825994</v>
      </c>
      <c r="BB28" s="410" t="s">
        <v>33</v>
      </c>
      <c r="BC28" s="410" t="s">
        <v>33</v>
      </c>
      <c r="BD28" s="410">
        <v>0.74199999999999999</v>
      </c>
      <c r="BE28" s="410" t="s">
        <v>33</v>
      </c>
      <c r="BF28" s="410" t="s">
        <v>33</v>
      </c>
      <c r="BG28" s="410" t="s">
        <v>33</v>
      </c>
      <c r="BH28" s="410" t="s">
        <v>33</v>
      </c>
      <c r="BI28" s="410">
        <f>E28</f>
        <v>0.93407663131999996</v>
      </c>
      <c r="BJ28" s="410" t="s">
        <v>33</v>
      </c>
      <c r="BK28" s="410" t="s">
        <v>33</v>
      </c>
      <c r="BL28" s="410">
        <f>BD28</f>
        <v>0.74199999999999999</v>
      </c>
      <c r="BM28" s="410" t="s">
        <v>33</v>
      </c>
      <c r="BN28" s="410" t="s">
        <v>33</v>
      </c>
      <c r="BO28" s="410" t="s">
        <v>33</v>
      </c>
      <c r="BP28" s="410" t="s">
        <v>33</v>
      </c>
      <c r="BQ28" s="410" t="s">
        <v>33</v>
      </c>
      <c r="BR28" s="410" t="s">
        <v>33</v>
      </c>
      <c r="BS28" s="410" t="s">
        <v>33</v>
      </c>
      <c r="BT28" s="410" t="s">
        <v>33</v>
      </c>
      <c r="BU28" s="410" t="s">
        <v>33</v>
      </c>
      <c r="BV28" s="410" t="s">
        <v>33</v>
      </c>
      <c r="BW28" s="410" t="s">
        <v>33</v>
      </c>
      <c r="BX28" s="410" t="s">
        <v>33</v>
      </c>
      <c r="BY28" s="410" t="s">
        <v>33</v>
      </c>
      <c r="BZ28" s="410" t="s">
        <v>33</v>
      </c>
      <c r="CA28" s="410" t="s">
        <v>33</v>
      </c>
      <c r="CB28" s="410" t="s">
        <v>33</v>
      </c>
      <c r="CC28" s="410" t="s">
        <v>33</v>
      </c>
      <c r="CD28" s="410" t="s">
        <v>33</v>
      </c>
      <c r="CE28" s="410" t="s">
        <v>33</v>
      </c>
      <c r="CF28" s="410" t="s">
        <v>33</v>
      </c>
      <c r="CG28" s="410" t="s">
        <v>33</v>
      </c>
      <c r="CH28" s="410" t="s">
        <v>33</v>
      </c>
      <c r="CI28" s="410" t="s">
        <v>33</v>
      </c>
      <c r="CJ28" s="410" t="s">
        <v>33</v>
      </c>
      <c r="CK28" s="410" t="s">
        <v>33</v>
      </c>
      <c r="CL28" s="410" t="s">
        <v>33</v>
      </c>
      <c r="CM28" s="410" t="s">
        <v>33</v>
      </c>
      <c r="CN28" s="410" t="s">
        <v>33</v>
      </c>
      <c r="CO28" s="410" t="s">
        <v>33</v>
      </c>
      <c r="CP28" s="410" t="s">
        <v>33</v>
      </c>
      <c r="CQ28" s="410" t="s">
        <v>33</v>
      </c>
      <c r="CR28" s="410" t="s">
        <v>33</v>
      </c>
      <c r="CS28" s="410" t="s">
        <v>33</v>
      </c>
      <c r="CT28" s="410" t="s">
        <v>33</v>
      </c>
      <c r="CU28" s="410" t="s">
        <v>33</v>
      </c>
      <c r="CV28" s="410" t="s">
        <v>33</v>
      </c>
      <c r="CW28" s="410">
        <f t="shared" ref="CW28:CW31" si="42">D28</f>
        <v>0.83454388374825994</v>
      </c>
      <c r="CX28" s="410" t="s">
        <v>33</v>
      </c>
      <c r="CY28" s="410" t="s">
        <v>33</v>
      </c>
      <c r="CZ28" s="410">
        <f>BD28</f>
        <v>0.74199999999999999</v>
      </c>
      <c r="DA28" s="410" t="s">
        <v>33</v>
      </c>
      <c r="DB28" s="410" t="s">
        <v>33</v>
      </c>
      <c r="DC28" s="410" t="s">
        <v>33</v>
      </c>
      <c r="DD28" s="410" t="s">
        <v>33</v>
      </c>
      <c r="DE28" s="410">
        <f>E28</f>
        <v>0.93407663131999996</v>
      </c>
      <c r="DF28" s="410" t="s">
        <v>33</v>
      </c>
      <c r="DG28" s="410" t="s">
        <v>33</v>
      </c>
      <c r="DH28" s="410">
        <f>CZ28</f>
        <v>0.74199999999999999</v>
      </c>
      <c r="DI28" s="410" t="s">
        <v>33</v>
      </c>
      <c r="DJ28" s="410" t="s">
        <v>33</v>
      </c>
      <c r="DK28" s="410" t="s">
        <v>33</v>
      </c>
      <c r="DL28" s="410" t="s">
        <v>33</v>
      </c>
    </row>
    <row r="29" spans="1:116" s="493" customFormat="1" x14ac:dyDescent="0.25">
      <c r="A29" s="13" t="s">
        <v>580</v>
      </c>
      <c r="B29" s="236" t="s">
        <v>652</v>
      </c>
      <c r="C29" s="410" t="s">
        <v>1350</v>
      </c>
      <c r="D29" s="410">
        <f>Ф3!K27</f>
        <v>0.87193549851856</v>
      </c>
      <c r="E29" s="410">
        <f>Ф3!P27</f>
        <v>0.96983062959999999</v>
      </c>
      <c r="F29" s="410" t="s">
        <v>33</v>
      </c>
      <c r="G29" s="410" t="s">
        <v>33</v>
      </c>
      <c r="H29" s="410" t="s">
        <v>33</v>
      </c>
      <c r="I29" s="410" t="s">
        <v>33</v>
      </c>
      <c r="J29" s="410" t="s">
        <v>33</v>
      </c>
      <c r="K29" s="410" t="s">
        <v>33</v>
      </c>
      <c r="L29" s="410" t="s">
        <v>33</v>
      </c>
      <c r="M29" s="410" t="s">
        <v>33</v>
      </c>
      <c r="N29" s="410" t="s">
        <v>33</v>
      </c>
      <c r="O29" s="410" t="s">
        <v>33</v>
      </c>
      <c r="P29" s="410" t="s">
        <v>33</v>
      </c>
      <c r="Q29" s="410" t="s">
        <v>33</v>
      </c>
      <c r="R29" s="410" t="s">
        <v>33</v>
      </c>
      <c r="S29" s="410" t="s">
        <v>33</v>
      </c>
      <c r="T29" s="410" t="s">
        <v>33</v>
      </c>
      <c r="U29" s="410" t="s">
        <v>33</v>
      </c>
      <c r="V29" s="410" t="s">
        <v>33</v>
      </c>
      <c r="W29" s="410" t="s">
        <v>33</v>
      </c>
      <c r="X29" s="410" t="s">
        <v>33</v>
      </c>
      <c r="Y29" s="410" t="s">
        <v>33</v>
      </c>
      <c r="Z29" s="410" t="s">
        <v>33</v>
      </c>
      <c r="AA29" s="410" t="s">
        <v>33</v>
      </c>
      <c r="AB29" s="410" t="s">
        <v>33</v>
      </c>
      <c r="AC29" s="410" t="s">
        <v>33</v>
      </c>
      <c r="AD29" s="410" t="s">
        <v>33</v>
      </c>
      <c r="AE29" s="410" t="s">
        <v>33</v>
      </c>
      <c r="AF29" s="410" t="s">
        <v>33</v>
      </c>
      <c r="AG29" s="410" t="s">
        <v>33</v>
      </c>
      <c r="AH29" s="410" t="s">
        <v>33</v>
      </c>
      <c r="AI29" s="410" t="s">
        <v>33</v>
      </c>
      <c r="AJ29" s="410" t="s">
        <v>33</v>
      </c>
      <c r="AK29" s="410" t="s">
        <v>33</v>
      </c>
      <c r="AL29" s="410" t="s">
        <v>33</v>
      </c>
      <c r="AM29" s="410" t="s">
        <v>33</v>
      </c>
      <c r="AN29" s="410" t="s">
        <v>33</v>
      </c>
      <c r="AO29" s="410" t="s">
        <v>33</v>
      </c>
      <c r="AP29" s="410" t="s">
        <v>33</v>
      </c>
      <c r="AQ29" s="410" t="s">
        <v>33</v>
      </c>
      <c r="AR29" s="410" t="s">
        <v>33</v>
      </c>
      <c r="AS29" s="410" t="s">
        <v>33</v>
      </c>
      <c r="AT29" s="410" t="s">
        <v>33</v>
      </c>
      <c r="AU29" s="410" t="s">
        <v>33</v>
      </c>
      <c r="AV29" s="410" t="s">
        <v>33</v>
      </c>
      <c r="AW29" s="410" t="s">
        <v>33</v>
      </c>
      <c r="AX29" s="410" t="s">
        <v>33</v>
      </c>
      <c r="AY29" s="410" t="s">
        <v>33</v>
      </c>
      <c r="AZ29" s="410" t="s">
        <v>33</v>
      </c>
      <c r="BA29" s="410">
        <f>D29</f>
        <v>0.87193549851856</v>
      </c>
      <c r="BB29" s="410" t="s">
        <v>33</v>
      </c>
      <c r="BC29" s="410" t="s">
        <v>33</v>
      </c>
      <c r="BD29" s="410">
        <v>0.82499999999999996</v>
      </c>
      <c r="BE29" s="410" t="s">
        <v>33</v>
      </c>
      <c r="BF29" s="410" t="s">
        <v>33</v>
      </c>
      <c r="BG29" s="410" t="s">
        <v>33</v>
      </c>
      <c r="BH29" s="410" t="s">
        <v>33</v>
      </c>
      <c r="BI29" s="410">
        <f t="shared" ref="BI29:BI30" si="43">E29</f>
        <v>0.96983062959999999</v>
      </c>
      <c r="BJ29" s="410" t="s">
        <v>33</v>
      </c>
      <c r="BK29" s="410" t="s">
        <v>33</v>
      </c>
      <c r="BL29" s="410">
        <f>BD29</f>
        <v>0.82499999999999996</v>
      </c>
      <c r="BM29" s="410" t="s">
        <v>33</v>
      </c>
      <c r="BN29" s="410" t="s">
        <v>33</v>
      </c>
      <c r="BO29" s="410" t="s">
        <v>33</v>
      </c>
      <c r="BP29" s="410" t="s">
        <v>33</v>
      </c>
      <c r="BQ29" s="410" t="s">
        <v>33</v>
      </c>
      <c r="BR29" s="410" t="s">
        <v>33</v>
      </c>
      <c r="BS29" s="410" t="s">
        <v>33</v>
      </c>
      <c r="BT29" s="410" t="s">
        <v>33</v>
      </c>
      <c r="BU29" s="410" t="s">
        <v>33</v>
      </c>
      <c r="BV29" s="410" t="s">
        <v>33</v>
      </c>
      <c r="BW29" s="410" t="s">
        <v>33</v>
      </c>
      <c r="BX29" s="410" t="s">
        <v>33</v>
      </c>
      <c r="BY29" s="410" t="s">
        <v>33</v>
      </c>
      <c r="BZ29" s="410" t="s">
        <v>33</v>
      </c>
      <c r="CA29" s="410" t="s">
        <v>33</v>
      </c>
      <c r="CB29" s="410" t="s">
        <v>33</v>
      </c>
      <c r="CC29" s="410" t="s">
        <v>33</v>
      </c>
      <c r="CD29" s="410" t="s">
        <v>33</v>
      </c>
      <c r="CE29" s="410" t="s">
        <v>33</v>
      </c>
      <c r="CF29" s="410" t="s">
        <v>33</v>
      </c>
      <c r="CG29" s="410" t="s">
        <v>33</v>
      </c>
      <c r="CH29" s="410" t="s">
        <v>33</v>
      </c>
      <c r="CI29" s="410" t="s">
        <v>33</v>
      </c>
      <c r="CJ29" s="410" t="s">
        <v>33</v>
      </c>
      <c r="CK29" s="410" t="s">
        <v>33</v>
      </c>
      <c r="CL29" s="410" t="s">
        <v>33</v>
      </c>
      <c r="CM29" s="410" t="s">
        <v>33</v>
      </c>
      <c r="CN29" s="410" t="s">
        <v>33</v>
      </c>
      <c r="CO29" s="410" t="s">
        <v>33</v>
      </c>
      <c r="CP29" s="410" t="s">
        <v>33</v>
      </c>
      <c r="CQ29" s="410" t="s">
        <v>33</v>
      </c>
      <c r="CR29" s="410" t="s">
        <v>33</v>
      </c>
      <c r="CS29" s="410" t="s">
        <v>33</v>
      </c>
      <c r="CT29" s="410" t="s">
        <v>33</v>
      </c>
      <c r="CU29" s="410" t="s">
        <v>33</v>
      </c>
      <c r="CV29" s="410" t="s">
        <v>33</v>
      </c>
      <c r="CW29" s="410">
        <f t="shared" si="42"/>
        <v>0.87193549851856</v>
      </c>
      <c r="CX29" s="410" t="s">
        <v>33</v>
      </c>
      <c r="CY29" s="410" t="s">
        <v>33</v>
      </c>
      <c r="CZ29" s="410">
        <f>BD29</f>
        <v>0.82499999999999996</v>
      </c>
      <c r="DA29" s="410" t="s">
        <v>33</v>
      </c>
      <c r="DB29" s="410" t="s">
        <v>33</v>
      </c>
      <c r="DC29" s="410" t="s">
        <v>33</v>
      </c>
      <c r="DD29" s="410" t="s">
        <v>33</v>
      </c>
      <c r="DE29" s="410">
        <f t="shared" ref="DE29:DE31" si="44">E29</f>
        <v>0.96983062959999999</v>
      </c>
      <c r="DF29" s="410" t="s">
        <v>33</v>
      </c>
      <c r="DG29" s="410" t="s">
        <v>33</v>
      </c>
      <c r="DH29" s="410">
        <f>CZ29</f>
        <v>0.82499999999999996</v>
      </c>
      <c r="DI29" s="410" t="s">
        <v>33</v>
      </c>
      <c r="DJ29" s="410" t="s">
        <v>33</v>
      </c>
      <c r="DK29" s="410" t="s">
        <v>33</v>
      </c>
      <c r="DL29" s="410" t="s">
        <v>33</v>
      </c>
    </row>
    <row r="30" spans="1:116" s="493" customFormat="1" ht="31.5" x14ac:dyDescent="0.25">
      <c r="A30" s="13" t="s">
        <v>581</v>
      </c>
      <c r="B30" s="236" t="s">
        <v>1340</v>
      </c>
      <c r="C30" s="410" t="s">
        <v>1351</v>
      </c>
      <c r="D30" s="410" t="str">
        <f>Ф3!K28</f>
        <v>нд</v>
      </c>
      <c r="E30" s="410">
        <f>Ф3!P28</f>
        <v>8.6103991800399999</v>
      </c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 t="s">
        <v>33</v>
      </c>
      <c r="U30" s="410" t="s">
        <v>33</v>
      </c>
      <c r="V30" s="410" t="s">
        <v>33</v>
      </c>
      <c r="W30" s="410" t="s">
        <v>33</v>
      </c>
      <c r="X30" s="410" t="s">
        <v>33</v>
      </c>
      <c r="Y30" s="410" t="s">
        <v>33</v>
      </c>
      <c r="Z30" s="410" t="s">
        <v>33</v>
      </c>
      <c r="AA30" s="410" t="s">
        <v>33</v>
      </c>
      <c r="AB30" s="410" t="s">
        <v>33</v>
      </c>
      <c r="AC30" s="410" t="s">
        <v>33</v>
      </c>
      <c r="AD30" s="410" t="s">
        <v>33</v>
      </c>
      <c r="AE30" s="410" t="s">
        <v>33</v>
      </c>
      <c r="AF30" s="410" t="s">
        <v>33</v>
      </c>
      <c r="AG30" s="410" t="s">
        <v>33</v>
      </c>
      <c r="AH30" s="410" t="s">
        <v>33</v>
      </c>
      <c r="AI30" s="410" t="s">
        <v>33</v>
      </c>
      <c r="AJ30" s="410" t="s">
        <v>33</v>
      </c>
      <c r="AK30" s="410" t="s">
        <v>33</v>
      </c>
      <c r="AL30" s="410" t="s">
        <v>33</v>
      </c>
      <c r="AM30" s="410" t="s">
        <v>33</v>
      </c>
      <c r="AN30" s="410" t="s">
        <v>33</v>
      </c>
      <c r="AO30" s="410" t="s">
        <v>33</v>
      </c>
      <c r="AP30" s="410" t="s">
        <v>33</v>
      </c>
      <c r="AQ30" s="410" t="s">
        <v>33</v>
      </c>
      <c r="AR30" s="410" t="s">
        <v>33</v>
      </c>
      <c r="AS30" s="410" t="s">
        <v>33</v>
      </c>
      <c r="AT30" s="410" t="s">
        <v>33</v>
      </c>
      <c r="AU30" s="410" t="s">
        <v>33</v>
      </c>
      <c r="AV30" s="410" t="s">
        <v>33</v>
      </c>
      <c r="AW30" s="410" t="s">
        <v>33</v>
      </c>
      <c r="AX30" s="410" t="s">
        <v>33</v>
      </c>
      <c r="AY30" s="410" t="s">
        <v>33</v>
      </c>
      <c r="AZ30" s="410" t="s">
        <v>33</v>
      </c>
      <c r="BA30" s="410" t="str">
        <f>D30</f>
        <v>нд</v>
      </c>
      <c r="BB30" s="410" t="s">
        <v>33</v>
      </c>
      <c r="BC30" s="410" t="s">
        <v>33</v>
      </c>
      <c r="BD30" s="410" t="s">
        <v>33</v>
      </c>
      <c r="BE30" s="410" t="s">
        <v>33</v>
      </c>
      <c r="BF30" s="410" t="s">
        <v>33</v>
      </c>
      <c r="BG30" s="410" t="s">
        <v>33</v>
      </c>
      <c r="BH30" s="410" t="s">
        <v>33</v>
      </c>
      <c r="BI30" s="410">
        <f t="shared" si="43"/>
        <v>8.6103991800399999</v>
      </c>
      <c r="BJ30" s="410" t="s">
        <v>33</v>
      </c>
      <c r="BK30" s="410" t="s">
        <v>33</v>
      </c>
      <c r="BL30" s="410">
        <v>1.68015</v>
      </c>
      <c r="BM30" s="410" t="s">
        <v>33</v>
      </c>
      <c r="BN30" s="410" t="s">
        <v>33</v>
      </c>
      <c r="BO30" s="410" t="s">
        <v>33</v>
      </c>
      <c r="BP30" s="410" t="s">
        <v>33</v>
      </c>
      <c r="BQ30" s="410" t="s">
        <v>33</v>
      </c>
      <c r="BR30" s="410" t="s">
        <v>33</v>
      </c>
      <c r="BS30" s="410" t="s">
        <v>33</v>
      </c>
      <c r="BT30" s="410" t="s">
        <v>33</v>
      </c>
      <c r="BU30" s="410" t="s">
        <v>33</v>
      </c>
      <c r="BV30" s="410" t="s">
        <v>33</v>
      </c>
      <c r="BW30" s="410" t="s">
        <v>33</v>
      </c>
      <c r="BX30" s="410" t="s">
        <v>33</v>
      </c>
      <c r="BY30" s="410" t="s">
        <v>33</v>
      </c>
      <c r="BZ30" s="410" t="s">
        <v>33</v>
      </c>
      <c r="CA30" s="410" t="s">
        <v>33</v>
      </c>
      <c r="CB30" s="410" t="s">
        <v>33</v>
      </c>
      <c r="CC30" s="410" t="s">
        <v>33</v>
      </c>
      <c r="CD30" s="410" t="s">
        <v>33</v>
      </c>
      <c r="CE30" s="410" t="s">
        <v>33</v>
      </c>
      <c r="CF30" s="410" t="s">
        <v>33</v>
      </c>
      <c r="CG30" s="410" t="s">
        <v>33</v>
      </c>
      <c r="CH30" s="410" t="s">
        <v>33</v>
      </c>
      <c r="CI30" s="410" t="s">
        <v>33</v>
      </c>
      <c r="CJ30" s="410" t="s">
        <v>33</v>
      </c>
      <c r="CK30" s="410" t="s">
        <v>33</v>
      </c>
      <c r="CL30" s="410" t="s">
        <v>33</v>
      </c>
      <c r="CM30" s="410" t="s">
        <v>33</v>
      </c>
      <c r="CN30" s="410" t="s">
        <v>33</v>
      </c>
      <c r="CO30" s="410" t="s">
        <v>33</v>
      </c>
      <c r="CP30" s="410" t="s">
        <v>33</v>
      </c>
      <c r="CQ30" s="410" t="s">
        <v>33</v>
      </c>
      <c r="CR30" s="410" t="s">
        <v>33</v>
      </c>
      <c r="CS30" s="410" t="s">
        <v>33</v>
      </c>
      <c r="CT30" s="410" t="s">
        <v>33</v>
      </c>
      <c r="CU30" s="410" t="s">
        <v>33</v>
      </c>
      <c r="CV30" s="410" t="s">
        <v>33</v>
      </c>
      <c r="CW30" s="410" t="s">
        <v>33</v>
      </c>
      <c r="CX30" s="410" t="s">
        <v>33</v>
      </c>
      <c r="CY30" s="410" t="s">
        <v>33</v>
      </c>
      <c r="CZ30" s="410" t="s">
        <v>33</v>
      </c>
      <c r="DA30" s="410" t="s">
        <v>33</v>
      </c>
      <c r="DB30" s="410" t="s">
        <v>33</v>
      </c>
      <c r="DC30" s="410" t="s">
        <v>33</v>
      </c>
      <c r="DD30" s="410" t="s">
        <v>33</v>
      </c>
      <c r="DE30" s="410">
        <f t="shared" si="44"/>
        <v>8.6103991800399999</v>
      </c>
      <c r="DF30" s="410" t="s">
        <v>33</v>
      </c>
      <c r="DG30" s="410" t="s">
        <v>33</v>
      </c>
      <c r="DH30" s="410">
        <f>BL30</f>
        <v>1.68015</v>
      </c>
      <c r="DI30" s="410" t="s">
        <v>33</v>
      </c>
      <c r="DJ30" s="410" t="s">
        <v>33</v>
      </c>
      <c r="DK30" s="410" t="s">
        <v>33</v>
      </c>
      <c r="DL30" s="410" t="s">
        <v>33</v>
      </c>
    </row>
    <row r="31" spans="1:116" s="492" customFormat="1" ht="51" customHeight="1" x14ac:dyDescent="0.25">
      <c r="A31" s="13" t="s">
        <v>1368</v>
      </c>
      <c r="B31" s="236" t="s">
        <v>653</v>
      </c>
      <c r="C31" s="410" t="s">
        <v>640</v>
      </c>
      <c r="D31" s="410">
        <f>Ф3!K29</f>
        <v>1.8002719213896201</v>
      </c>
      <c r="E31" s="410">
        <f>Ф3!P29</f>
        <v>1.8002719213896201</v>
      </c>
      <c r="F31" s="410" t="s">
        <v>33</v>
      </c>
      <c r="G31" s="410" t="s">
        <v>33</v>
      </c>
      <c r="H31" s="410" t="s">
        <v>33</v>
      </c>
      <c r="I31" s="410" t="s">
        <v>33</v>
      </c>
      <c r="J31" s="410" t="s">
        <v>33</v>
      </c>
      <c r="K31" s="410" t="s">
        <v>33</v>
      </c>
      <c r="L31" s="410" t="s">
        <v>33</v>
      </c>
      <c r="M31" s="410" t="s">
        <v>33</v>
      </c>
      <c r="N31" s="410" t="s">
        <v>33</v>
      </c>
      <c r="O31" s="410" t="s">
        <v>33</v>
      </c>
      <c r="P31" s="410" t="s">
        <v>33</v>
      </c>
      <c r="Q31" s="410" t="s">
        <v>33</v>
      </c>
      <c r="R31" s="410" t="s">
        <v>33</v>
      </c>
      <c r="S31" s="410" t="s">
        <v>33</v>
      </c>
      <c r="T31" s="410" t="s">
        <v>33</v>
      </c>
      <c r="U31" s="410" t="s">
        <v>33</v>
      </c>
      <c r="V31" s="410" t="s">
        <v>33</v>
      </c>
      <c r="W31" s="410" t="s">
        <v>33</v>
      </c>
      <c r="X31" s="410" t="s">
        <v>33</v>
      </c>
      <c r="Y31" s="410" t="s">
        <v>33</v>
      </c>
      <c r="Z31" s="410" t="s">
        <v>33</v>
      </c>
      <c r="AA31" s="410" t="s">
        <v>33</v>
      </c>
      <c r="AB31" s="410" t="s">
        <v>33</v>
      </c>
      <c r="AC31" s="410" t="s">
        <v>33</v>
      </c>
      <c r="AD31" s="410" t="s">
        <v>33</v>
      </c>
      <c r="AE31" s="410" t="s">
        <v>33</v>
      </c>
      <c r="AF31" s="410" t="s">
        <v>33</v>
      </c>
      <c r="AG31" s="410" t="s">
        <v>33</v>
      </c>
      <c r="AH31" s="410" t="s">
        <v>33</v>
      </c>
      <c r="AI31" s="410" t="s">
        <v>33</v>
      </c>
      <c r="AJ31" s="410" t="s">
        <v>33</v>
      </c>
      <c r="AK31" s="410" t="s">
        <v>33</v>
      </c>
      <c r="AL31" s="410" t="s">
        <v>33</v>
      </c>
      <c r="AM31" s="410" t="s">
        <v>33</v>
      </c>
      <c r="AN31" s="410" t="s">
        <v>33</v>
      </c>
      <c r="AO31" s="410" t="s">
        <v>33</v>
      </c>
      <c r="AP31" s="410" t="s">
        <v>33</v>
      </c>
      <c r="AQ31" s="410" t="s">
        <v>33</v>
      </c>
      <c r="AR31" s="410" t="s">
        <v>33</v>
      </c>
      <c r="AS31" s="410" t="s">
        <v>33</v>
      </c>
      <c r="AT31" s="410" t="s">
        <v>33</v>
      </c>
      <c r="AU31" s="410" t="s">
        <v>33</v>
      </c>
      <c r="AV31" s="410" t="s">
        <v>33</v>
      </c>
      <c r="AW31" s="410" t="s">
        <v>33</v>
      </c>
      <c r="AX31" s="410" t="s">
        <v>33</v>
      </c>
      <c r="AY31" s="410" t="s">
        <v>33</v>
      </c>
      <c r="AZ31" s="410" t="s">
        <v>33</v>
      </c>
      <c r="BA31" s="410" t="s">
        <v>33</v>
      </c>
      <c r="BB31" s="410" t="s">
        <v>33</v>
      </c>
      <c r="BC31" s="410" t="s">
        <v>33</v>
      </c>
      <c r="BD31" s="410" t="s">
        <v>33</v>
      </c>
      <c r="BE31" s="410" t="s">
        <v>33</v>
      </c>
      <c r="BF31" s="410" t="s">
        <v>33</v>
      </c>
      <c r="BG31" s="410" t="s">
        <v>33</v>
      </c>
      <c r="BH31" s="410" t="s">
        <v>33</v>
      </c>
      <c r="BI31" s="410" t="s">
        <v>33</v>
      </c>
      <c r="BJ31" s="410" t="str">
        <f t="shared" ref="BJ31:BO31" si="45">F31</f>
        <v>нд</v>
      </c>
      <c r="BK31" s="410" t="str">
        <f t="shared" si="45"/>
        <v>нд</v>
      </c>
      <c r="BL31" s="410" t="str">
        <f t="shared" si="45"/>
        <v>нд</v>
      </c>
      <c r="BM31" s="410" t="str">
        <f t="shared" si="45"/>
        <v>нд</v>
      </c>
      <c r="BN31" s="410" t="str">
        <f t="shared" si="45"/>
        <v>нд</v>
      </c>
      <c r="BO31" s="410" t="str">
        <f t="shared" si="45"/>
        <v>нд</v>
      </c>
      <c r="BP31" s="410" t="s">
        <v>33</v>
      </c>
      <c r="BQ31" s="410">
        <f>D31</f>
        <v>1.8002719213896201</v>
      </c>
      <c r="BR31" s="410">
        <v>0.16</v>
      </c>
      <c r="BS31" s="410" t="s">
        <v>33</v>
      </c>
      <c r="BT31" s="410">
        <v>2.0659999999999998</v>
      </c>
      <c r="BU31" s="410" t="s">
        <v>33</v>
      </c>
      <c r="BV31" s="410" t="s">
        <v>33</v>
      </c>
      <c r="BW31" s="410" t="s">
        <v>33</v>
      </c>
      <c r="BX31" s="410" t="s">
        <v>33</v>
      </c>
      <c r="BY31" s="410">
        <f>E31</f>
        <v>1.8002719213896201</v>
      </c>
      <c r="BZ31" s="410">
        <v>0.16</v>
      </c>
      <c r="CA31" s="410" t="s">
        <v>33</v>
      </c>
      <c r="CB31" s="410">
        <v>2.0659999999999998</v>
      </c>
      <c r="CC31" s="410" t="s">
        <v>33</v>
      </c>
      <c r="CD31" s="410" t="s">
        <v>33</v>
      </c>
      <c r="CE31" s="410" t="s">
        <v>33</v>
      </c>
      <c r="CF31" s="410" t="s">
        <v>33</v>
      </c>
      <c r="CG31" s="410" t="s">
        <v>33</v>
      </c>
      <c r="CH31" s="410" t="s">
        <v>33</v>
      </c>
      <c r="CI31" s="410" t="s">
        <v>33</v>
      </c>
      <c r="CJ31" s="410" t="s">
        <v>33</v>
      </c>
      <c r="CK31" s="410" t="s">
        <v>33</v>
      </c>
      <c r="CL31" s="410" t="s">
        <v>33</v>
      </c>
      <c r="CM31" s="410" t="s">
        <v>33</v>
      </c>
      <c r="CN31" s="410" t="s">
        <v>33</v>
      </c>
      <c r="CO31" s="410" t="s">
        <v>33</v>
      </c>
      <c r="CP31" s="410" t="s">
        <v>33</v>
      </c>
      <c r="CQ31" s="410" t="s">
        <v>33</v>
      </c>
      <c r="CR31" s="410" t="s">
        <v>33</v>
      </c>
      <c r="CS31" s="410" t="s">
        <v>33</v>
      </c>
      <c r="CT31" s="410" t="s">
        <v>33</v>
      </c>
      <c r="CU31" s="410" t="s">
        <v>33</v>
      </c>
      <c r="CV31" s="410" t="s">
        <v>33</v>
      </c>
      <c r="CW31" s="410">
        <f t="shared" si="42"/>
        <v>1.8002719213896201</v>
      </c>
      <c r="CX31" s="410">
        <f>BR31</f>
        <v>0.16</v>
      </c>
      <c r="CY31" s="410" t="s">
        <v>33</v>
      </c>
      <c r="CZ31" s="410">
        <f>BT31</f>
        <v>2.0659999999999998</v>
      </c>
      <c r="DA31" s="410" t="str">
        <f>BU31</f>
        <v>нд</v>
      </c>
      <c r="DB31" s="410" t="s">
        <v>33</v>
      </c>
      <c r="DC31" s="410" t="s">
        <v>33</v>
      </c>
      <c r="DD31" s="410" t="s">
        <v>33</v>
      </c>
      <c r="DE31" s="410">
        <f t="shared" si="44"/>
        <v>1.8002719213896201</v>
      </c>
      <c r="DF31" s="410">
        <f>BZ31</f>
        <v>0.16</v>
      </c>
      <c r="DG31" s="410" t="s">
        <v>33</v>
      </c>
      <c r="DH31" s="410">
        <f>CZ31</f>
        <v>2.0659999999999998</v>
      </c>
      <c r="DI31" s="410" t="s">
        <v>33</v>
      </c>
      <c r="DJ31" s="410" t="s">
        <v>33</v>
      </c>
      <c r="DK31" s="410" t="s">
        <v>33</v>
      </c>
      <c r="DL31" s="410" t="s">
        <v>33</v>
      </c>
    </row>
    <row r="32" spans="1:116" s="490" customFormat="1" ht="31.5" x14ac:dyDescent="0.25">
      <c r="A32" s="124" t="s">
        <v>68</v>
      </c>
      <c r="B32" s="39" t="s">
        <v>69</v>
      </c>
      <c r="C32" s="442" t="str">
        <f>C33</f>
        <v>нд</v>
      </c>
      <c r="D32" s="442">
        <f t="shared" ref="D32:E32" si="46">D33</f>
        <v>27.189393560052764</v>
      </c>
      <c r="E32" s="442">
        <f t="shared" si="46"/>
        <v>18.658436923093696</v>
      </c>
      <c r="F32" s="442">
        <f t="shared" ref="F32:V33" si="47">F33</f>
        <v>0</v>
      </c>
      <c r="G32" s="442">
        <f t="shared" si="47"/>
        <v>0</v>
      </c>
      <c r="H32" s="442">
        <f t="shared" si="47"/>
        <v>0</v>
      </c>
      <c r="I32" s="442">
        <f t="shared" si="47"/>
        <v>0</v>
      </c>
      <c r="J32" s="442">
        <f t="shared" si="47"/>
        <v>0</v>
      </c>
      <c r="K32" s="442">
        <f t="shared" si="47"/>
        <v>0</v>
      </c>
      <c r="L32" s="442">
        <f t="shared" si="47"/>
        <v>0</v>
      </c>
      <c r="M32" s="442">
        <f t="shared" si="47"/>
        <v>0</v>
      </c>
      <c r="N32" s="442">
        <f t="shared" si="47"/>
        <v>0</v>
      </c>
      <c r="O32" s="442">
        <f t="shared" si="47"/>
        <v>0</v>
      </c>
      <c r="P32" s="442">
        <f t="shared" si="47"/>
        <v>0</v>
      </c>
      <c r="Q32" s="442">
        <f t="shared" si="47"/>
        <v>0</v>
      </c>
      <c r="R32" s="442">
        <f t="shared" si="47"/>
        <v>0</v>
      </c>
      <c r="S32" s="442">
        <f t="shared" si="47"/>
        <v>0</v>
      </c>
      <c r="T32" s="442" t="str">
        <f t="shared" si="47"/>
        <v>нд</v>
      </c>
      <c r="U32" s="442">
        <f t="shared" ref="U32:CF32" si="48">U33</f>
        <v>8.0554510516666671</v>
      </c>
      <c r="V32" s="442" t="str">
        <f t="shared" si="47"/>
        <v>нд</v>
      </c>
      <c r="W32" s="442" t="str">
        <f t="shared" ref="W32:W33" si="49">W33</f>
        <v>нд</v>
      </c>
      <c r="X32" s="442" t="str">
        <f t="shared" ref="X32:X33" si="50">X33</f>
        <v>нд</v>
      </c>
      <c r="Y32" s="442" t="str">
        <f t="shared" ref="Y32:Y33" si="51">Y33</f>
        <v>нд</v>
      </c>
      <c r="Z32" s="494">
        <f t="shared" si="48"/>
        <v>347</v>
      </c>
      <c r="AA32" s="442" t="str">
        <f t="shared" ref="AA32:AA33" si="52">AA33</f>
        <v>нд</v>
      </c>
      <c r="AB32" s="442" t="str">
        <f t="shared" ref="AB32:AB33" si="53">AB33</f>
        <v>нд</v>
      </c>
      <c r="AC32" s="442">
        <f t="shared" ref="AC32:AC33" si="54">AC33</f>
        <v>8.0554510516666671</v>
      </c>
      <c r="AD32" s="442" t="str">
        <f t="shared" ref="AD32:AD33" si="55">AD33</f>
        <v>нд</v>
      </c>
      <c r="AE32" s="442" t="str">
        <f t="shared" ref="AE32:AE33" si="56">AE33</f>
        <v>нд</v>
      </c>
      <c r="AF32" s="442" t="str">
        <f t="shared" ref="AF32:AF33" si="57">AF33</f>
        <v>нд</v>
      </c>
      <c r="AG32" s="442" t="str">
        <f t="shared" ref="AG32:AG33" si="58">AG33</f>
        <v>нд</v>
      </c>
      <c r="AH32" s="494">
        <f t="shared" ref="AH32:AH33" si="59">AH33</f>
        <v>347</v>
      </c>
      <c r="AI32" s="442" t="str">
        <f t="shared" ref="AI32:AL33" si="60">AI33</f>
        <v>нд</v>
      </c>
      <c r="AJ32" s="442" t="str">
        <f t="shared" si="60"/>
        <v>нд</v>
      </c>
      <c r="AK32" s="442">
        <f t="shared" si="48"/>
        <v>5.8877787503733332</v>
      </c>
      <c r="AL32" s="442" t="str">
        <f t="shared" si="60"/>
        <v>нд</v>
      </c>
      <c r="AM32" s="442" t="str">
        <f t="shared" ref="AM32:AM33" si="61">AM33</f>
        <v>нд</v>
      </c>
      <c r="AN32" s="442" t="str">
        <f t="shared" ref="AN32:AN33" si="62">AN33</f>
        <v>нд</v>
      </c>
      <c r="AO32" s="442" t="str">
        <f t="shared" ref="AO32:AO33" si="63">AO33</f>
        <v>нд</v>
      </c>
      <c r="AP32" s="494">
        <f t="shared" si="48"/>
        <v>287</v>
      </c>
      <c r="AQ32" s="442" t="str">
        <f t="shared" si="48"/>
        <v>нд</v>
      </c>
      <c r="AR32" s="442" t="str">
        <f t="shared" si="48"/>
        <v>нд</v>
      </c>
      <c r="AS32" s="442" t="str">
        <f t="shared" si="48"/>
        <v>нд</v>
      </c>
      <c r="AT32" s="442" t="str">
        <f t="shared" si="48"/>
        <v>нд</v>
      </c>
      <c r="AU32" s="442" t="str">
        <f t="shared" si="48"/>
        <v>нд</v>
      </c>
      <c r="AV32" s="442" t="str">
        <f t="shared" si="48"/>
        <v>нд</v>
      </c>
      <c r="AW32" s="442" t="str">
        <f t="shared" si="48"/>
        <v>нд</v>
      </c>
      <c r="AX32" s="442" t="str">
        <f t="shared" si="48"/>
        <v>нд</v>
      </c>
      <c r="AY32" s="442" t="str">
        <f t="shared" si="48"/>
        <v>нд</v>
      </c>
      <c r="AZ32" s="442" t="str">
        <f t="shared" si="48"/>
        <v>нд</v>
      </c>
      <c r="BA32" s="442">
        <f t="shared" si="48"/>
        <v>3.7237258865857399</v>
      </c>
      <c r="BB32" s="442" t="str">
        <f t="shared" si="48"/>
        <v>нд</v>
      </c>
      <c r="BC32" s="442" t="str">
        <f t="shared" si="48"/>
        <v>нд</v>
      </c>
      <c r="BD32" s="442" t="str">
        <f t="shared" si="48"/>
        <v>нд</v>
      </c>
      <c r="BE32" s="442" t="str">
        <f t="shared" si="48"/>
        <v>нд</v>
      </c>
      <c r="BF32" s="494">
        <f t="shared" si="48"/>
        <v>171</v>
      </c>
      <c r="BG32" s="442" t="str">
        <f t="shared" si="48"/>
        <v>нд</v>
      </c>
      <c r="BH32" s="442" t="str">
        <f t="shared" si="48"/>
        <v>нд</v>
      </c>
      <c r="BI32" s="442">
        <f t="shared" si="48"/>
        <v>1.0805480000000001</v>
      </c>
      <c r="BJ32" s="442" t="str">
        <f t="shared" si="48"/>
        <v>нд</v>
      </c>
      <c r="BK32" s="442" t="str">
        <f t="shared" si="48"/>
        <v>нд</v>
      </c>
      <c r="BL32" s="442" t="str">
        <f t="shared" si="48"/>
        <v>нд</v>
      </c>
      <c r="BM32" s="442" t="str">
        <f t="shared" si="48"/>
        <v>нд</v>
      </c>
      <c r="BN32" s="494">
        <f t="shared" si="48"/>
        <v>1</v>
      </c>
      <c r="BO32" s="442" t="str">
        <f t="shared" si="48"/>
        <v>нд</v>
      </c>
      <c r="BP32" s="442" t="str">
        <f t="shared" si="48"/>
        <v>нд</v>
      </c>
      <c r="BQ32" s="442">
        <f t="shared" si="48"/>
        <v>4.5097833280740725</v>
      </c>
      <c r="BR32" s="442" t="str">
        <f t="shared" si="48"/>
        <v>нд</v>
      </c>
      <c r="BS32" s="442" t="str">
        <f t="shared" si="48"/>
        <v>нд</v>
      </c>
      <c r="BT32" s="442" t="str">
        <f t="shared" si="48"/>
        <v>нд</v>
      </c>
      <c r="BU32" s="442" t="str">
        <f t="shared" si="48"/>
        <v>нд</v>
      </c>
      <c r="BV32" s="494">
        <f t="shared" si="48"/>
        <v>201</v>
      </c>
      <c r="BW32" s="442" t="str">
        <f t="shared" si="48"/>
        <v>нд</v>
      </c>
      <c r="BX32" s="442" t="str">
        <f t="shared" si="48"/>
        <v>нд</v>
      </c>
      <c r="BY32" s="442">
        <f t="shared" si="48"/>
        <v>4.5097833280740725</v>
      </c>
      <c r="BZ32" s="442" t="str">
        <f t="shared" si="48"/>
        <v>нд</v>
      </c>
      <c r="CA32" s="442" t="str">
        <f t="shared" si="48"/>
        <v>нд</v>
      </c>
      <c r="CB32" s="442" t="str">
        <f t="shared" si="48"/>
        <v>нд</v>
      </c>
      <c r="CC32" s="442" t="str">
        <f t="shared" si="48"/>
        <v>нд</v>
      </c>
      <c r="CD32" s="494">
        <f t="shared" si="48"/>
        <v>201</v>
      </c>
      <c r="CE32" s="442" t="str">
        <f t="shared" si="48"/>
        <v>нд</v>
      </c>
      <c r="CF32" s="442" t="str">
        <f t="shared" si="48"/>
        <v>нд</v>
      </c>
      <c r="CG32" s="442">
        <f t="shared" ref="CG32:DL32" si="64">CG33</f>
        <v>5.0126545433529532</v>
      </c>
      <c r="CH32" s="442" t="str">
        <f t="shared" si="64"/>
        <v>нд</v>
      </c>
      <c r="CI32" s="442" t="str">
        <f t="shared" si="64"/>
        <v>нд</v>
      </c>
      <c r="CJ32" s="442" t="str">
        <f t="shared" si="64"/>
        <v>нд</v>
      </c>
      <c r="CK32" s="442" t="str">
        <f t="shared" si="64"/>
        <v>нд</v>
      </c>
      <c r="CL32" s="494">
        <f t="shared" si="64"/>
        <v>213</v>
      </c>
      <c r="CM32" s="442" t="str">
        <f t="shared" si="64"/>
        <v>нд</v>
      </c>
      <c r="CN32" s="442" t="str">
        <f t="shared" si="64"/>
        <v>нд</v>
      </c>
      <c r="CO32" s="442">
        <f t="shared" si="64"/>
        <v>5.0126545433529532</v>
      </c>
      <c r="CP32" s="442" t="str">
        <f t="shared" si="64"/>
        <v>нд</v>
      </c>
      <c r="CQ32" s="442" t="str">
        <f t="shared" si="64"/>
        <v>нд</v>
      </c>
      <c r="CR32" s="442" t="str">
        <f t="shared" si="64"/>
        <v>нд</v>
      </c>
      <c r="CS32" s="442" t="str">
        <f t="shared" si="64"/>
        <v>нд</v>
      </c>
      <c r="CT32" s="494">
        <f t="shared" si="64"/>
        <v>213</v>
      </c>
      <c r="CU32" s="442" t="str">
        <f t="shared" si="64"/>
        <v>нд</v>
      </c>
      <c r="CV32" s="442" t="str">
        <f t="shared" si="64"/>
        <v>нд</v>
      </c>
      <c r="CW32" s="442">
        <f t="shared" si="64"/>
        <v>27.189393560052764</v>
      </c>
      <c r="CX32" s="442" t="str">
        <f t="shared" si="64"/>
        <v>нд</v>
      </c>
      <c r="CY32" s="442" t="str">
        <f t="shared" si="64"/>
        <v>нд</v>
      </c>
      <c r="CZ32" s="442" t="str">
        <f t="shared" si="64"/>
        <v>нд</v>
      </c>
      <c r="DA32" s="442" t="str">
        <f t="shared" si="64"/>
        <v>нд</v>
      </c>
      <c r="DB32" s="494">
        <f t="shared" si="64"/>
        <v>1219</v>
      </c>
      <c r="DC32" s="442" t="str">
        <f t="shared" si="64"/>
        <v>нд</v>
      </c>
      <c r="DD32" s="442" t="str">
        <f t="shared" si="64"/>
        <v>нд</v>
      </c>
      <c r="DE32" s="442">
        <f t="shared" si="64"/>
        <v>18.658436923093696</v>
      </c>
      <c r="DF32" s="442" t="str">
        <f t="shared" si="64"/>
        <v>нд</v>
      </c>
      <c r="DG32" s="442" t="str">
        <f t="shared" si="64"/>
        <v>нд</v>
      </c>
      <c r="DH32" s="442" t="str">
        <f t="shared" si="64"/>
        <v>нд</v>
      </c>
      <c r="DI32" s="442" t="str">
        <f t="shared" si="64"/>
        <v>нд</v>
      </c>
      <c r="DJ32" s="494">
        <f t="shared" si="64"/>
        <v>762</v>
      </c>
      <c r="DK32" s="442" t="str">
        <f t="shared" si="64"/>
        <v>нд</v>
      </c>
      <c r="DL32" s="442" t="str">
        <f t="shared" si="64"/>
        <v>нд</v>
      </c>
    </row>
    <row r="33" spans="1:116" s="491" customFormat="1" ht="31.5" outlineLevel="1" x14ac:dyDescent="0.25">
      <c r="A33" s="127" t="s">
        <v>70</v>
      </c>
      <c r="B33" s="10" t="s">
        <v>71</v>
      </c>
      <c r="C33" s="444" t="s">
        <v>33</v>
      </c>
      <c r="D33" s="444">
        <f>SUM(D34:D39)</f>
        <v>27.189393560052764</v>
      </c>
      <c r="E33" s="444">
        <f>SUM(E34:E39)</f>
        <v>18.658436923093696</v>
      </c>
      <c r="F33" s="444">
        <f t="shared" si="47"/>
        <v>0</v>
      </c>
      <c r="G33" s="444">
        <f t="shared" si="47"/>
        <v>0</v>
      </c>
      <c r="H33" s="444">
        <f t="shared" si="47"/>
        <v>0</v>
      </c>
      <c r="I33" s="444">
        <f t="shared" si="47"/>
        <v>0</v>
      </c>
      <c r="J33" s="444">
        <f t="shared" si="47"/>
        <v>0</v>
      </c>
      <c r="K33" s="444">
        <f t="shared" si="47"/>
        <v>0</v>
      </c>
      <c r="L33" s="444">
        <f t="shared" si="47"/>
        <v>0</v>
      </c>
      <c r="M33" s="444">
        <f t="shared" si="47"/>
        <v>0</v>
      </c>
      <c r="N33" s="444">
        <f t="shared" si="47"/>
        <v>0</v>
      </c>
      <c r="O33" s="444">
        <f t="shared" si="47"/>
        <v>0</v>
      </c>
      <c r="P33" s="444">
        <f t="shared" si="47"/>
        <v>0</v>
      </c>
      <c r="Q33" s="444">
        <f t="shared" si="47"/>
        <v>0</v>
      </c>
      <c r="R33" s="444">
        <f t="shared" si="47"/>
        <v>0</v>
      </c>
      <c r="S33" s="444">
        <f t="shared" si="47"/>
        <v>0</v>
      </c>
      <c r="T33" s="444" t="str">
        <f t="shared" si="47"/>
        <v>нд</v>
      </c>
      <c r="U33" s="444">
        <f t="shared" ref="U33:BV33" si="65">SUM(U34:U39)</f>
        <v>8.0554510516666671</v>
      </c>
      <c r="V33" s="444" t="str">
        <f t="shared" si="47"/>
        <v>нд</v>
      </c>
      <c r="W33" s="444" t="str">
        <f t="shared" si="49"/>
        <v>нд</v>
      </c>
      <c r="X33" s="444" t="str">
        <f t="shared" si="50"/>
        <v>нд</v>
      </c>
      <c r="Y33" s="444" t="str">
        <f t="shared" si="51"/>
        <v>нд</v>
      </c>
      <c r="Z33" s="495">
        <f>SUM(Z34:Z39)</f>
        <v>347</v>
      </c>
      <c r="AA33" s="444" t="str">
        <f t="shared" si="52"/>
        <v>нд</v>
      </c>
      <c r="AB33" s="444" t="str">
        <f t="shared" si="53"/>
        <v>нд</v>
      </c>
      <c r="AC33" s="444">
        <f t="shared" si="54"/>
        <v>8.0554510516666671</v>
      </c>
      <c r="AD33" s="444" t="str">
        <f t="shared" si="55"/>
        <v>нд</v>
      </c>
      <c r="AE33" s="444" t="str">
        <f t="shared" si="56"/>
        <v>нд</v>
      </c>
      <c r="AF33" s="444" t="str">
        <f t="shared" si="57"/>
        <v>нд</v>
      </c>
      <c r="AG33" s="444" t="str">
        <f t="shared" si="58"/>
        <v>нд</v>
      </c>
      <c r="AH33" s="495">
        <f t="shared" si="59"/>
        <v>347</v>
      </c>
      <c r="AI33" s="444" t="str">
        <f t="shared" si="60"/>
        <v>нд</v>
      </c>
      <c r="AJ33" s="444" t="str">
        <f t="shared" si="60"/>
        <v>нд</v>
      </c>
      <c r="AK33" s="444">
        <f t="shared" si="65"/>
        <v>5.8877787503733332</v>
      </c>
      <c r="AL33" s="444" t="str">
        <f t="shared" si="60"/>
        <v>нд</v>
      </c>
      <c r="AM33" s="444" t="str">
        <f t="shared" si="61"/>
        <v>нд</v>
      </c>
      <c r="AN33" s="444" t="str">
        <f t="shared" si="62"/>
        <v>нд</v>
      </c>
      <c r="AO33" s="444" t="str">
        <f t="shared" si="63"/>
        <v>нд</v>
      </c>
      <c r="AP33" s="495">
        <f t="shared" si="65"/>
        <v>287</v>
      </c>
      <c r="AQ33" s="444" t="s">
        <v>33</v>
      </c>
      <c r="AR33" s="444" t="s">
        <v>33</v>
      </c>
      <c r="AS33" s="444" t="s">
        <v>33</v>
      </c>
      <c r="AT33" s="444" t="s">
        <v>33</v>
      </c>
      <c r="AU33" s="444" t="s">
        <v>33</v>
      </c>
      <c r="AV33" s="444" t="s">
        <v>33</v>
      </c>
      <c r="AW33" s="444" t="s">
        <v>33</v>
      </c>
      <c r="AX33" s="444" t="s">
        <v>33</v>
      </c>
      <c r="AY33" s="444" t="s">
        <v>33</v>
      </c>
      <c r="AZ33" s="444" t="s">
        <v>33</v>
      </c>
      <c r="BA33" s="444">
        <f t="shared" si="65"/>
        <v>3.7237258865857399</v>
      </c>
      <c r="BB33" s="444" t="s">
        <v>33</v>
      </c>
      <c r="BC33" s="444" t="s">
        <v>33</v>
      </c>
      <c r="BD33" s="444" t="s">
        <v>33</v>
      </c>
      <c r="BE33" s="444" t="s">
        <v>33</v>
      </c>
      <c r="BF33" s="495">
        <f t="shared" si="65"/>
        <v>171</v>
      </c>
      <c r="BG33" s="444" t="s">
        <v>33</v>
      </c>
      <c r="BH33" s="444" t="s">
        <v>33</v>
      </c>
      <c r="BI33" s="444">
        <f t="shared" ref="BI33" si="66">SUM(BI34:BI39)</f>
        <v>1.0805480000000001</v>
      </c>
      <c r="BJ33" s="444" t="s">
        <v>33</v>
      </c>
      <c r="BK33" s="444" t="s">
        <v>33</v>
      </c>
      <c r="BL33" s="444" t="s">
        <v>33</v>
      </c>
      <c r="BM33" s="444" t="s">
        <v>33</v>
      </c>
      <c r="BN33" s="495">
        <f t="shared" ref="BN33" si="67">SUM(BN34:BN39)</f>
        <v>1</v>
      </c>
      <c r="BO33" s="444" t="s">
        <v>33</v>
      </c>
      <c r="BP33" s="444" t="s">
        <v>33</v>
      </c>
      <c r="BQ33" s="444">
        <f t="shared" si="65"/>
        <v>4.5097833280740725</v>
      </c>
      <c r="BR33" s="444" t="s">
        <v>33</v>
      </c>
      <c r="BS33" s="444" t="s">
        <v>33</v>
      </c>
      <c r="BT33" s="444" t="s">
        <v>33</v>
      </c>
      <c r="BU33" s="444" t="s">
        <v>33</v>
      </c>
      <c r="BV33" s="495">
        <f t="shared" si="65"/>
        <v>201</v>
      </c>
      <c r="BW33" s="444" t="s">
        <v>33</v>
      </c>
      <c r="BX33" s="444" t="s">
        <v>33</v>
      </c>
      <c r="BY33" s="444">
        <f t="shared" ref="BY33" si="68">SUM(BY34:BY39)</f>
        <v>4.5097833280740725</v>
      </c>
      <c r="BZ33" s="444" t="s">
        <v>33</v>
      </c>
      <c r="CA33" s="444" t="s">
        <v>33</v>
      </c>
      <c r="CB33" s="444" t="s">
        <v>33</v>
      </c>
      <c r="CC33" s="444" t="s">
        <v>33</v>
      </c>
      <c r="CD33" s="495">
        <f t="shared" ref="CD33" si="69">SUM(CD34:CD39)</f>
        <v>201</v>
      </c>
      <c r="CE33" s="444" t="s">
        <v>33</v>
      </c>
      <c r="CF33" s="444" t="s">
        <v>33</v>
      </c>
      <c r="CG33" s="444">
        <f t="shared" ref="CG33:DB33" si="70">SUM(CG34:CG39)</f>
        <v>5.0126545433529532</v>
      </c>
      <c r="CH33" s="444" t="s">
        <v>33</v>
      </c>
      <c r="CI33" s="444" t="s">
        <v>33</v>
      </c>
      <c r="CJ33" s="444" t="s">
        <v>33</v>
      </c>
      <c r="CK33" s="444" t="s">
        <v>33</v>
      </c>
      <c r="CL33" s="495">
        <f t="shared" si="70"/>
        <v>213</v>
      </c>
      <c r="CM33" s="444" t="s">
        <v>33</v>
      </c>
      <c r="CN33" s="444" t="s">
        <v>33</v>
      </c>
      <c r="CO33" s="444">
        <f t="shared" ref="CO33" si="71">SUM(CO34:CO39)</f>
        <v>5.0126545433529532</v>
      </c>
      <c r="CP33" s="444" t="s">
        <v>33</v>
      </c>
      <c r="CQ33" s="444" t="s">
        <v>33</v>
      </c>
      <c r="CR33" s="444" t="s">
        <v>33</v>
      </c>
      <c r="CS33" s="444" t="s">
        <v>33</v>
      </c>
      <c r="CT33" s="495">
        <f t="shared" ref="CT33" si="72">SUM(CT34:CT39)</f>
        <v>213</v>
      </c>
      <c r="CU33" s="444" t="s">
        <v>33</v>
      </c>
      <c r="CV33" s="444" t="s">
        <v>33</v>
      </c>
      <c r="CW33" s="444">
        <f t="shared" si="70"/>
        <v>27.189393560052764</v>
      </c>
      <c r="CX33" s="444" t="s">
        <v>33</v>
      </c>
      <c r="CY33" s="444" t="s">
        <v>33</v>
      </c>
      <c r="CZ33" s="444" t="s">
        <v>33</v>
      </c>
      <c r="DA33" s="444" t="s">
        <v>33</v>
      </c>
      <c r="DB33" s="495">
        <f t="shared" si="70"/>
        <v>1219</v>
      </c>
      <c r="DC33" s="444" t="s">
        <v>33</v>
      </c>
      <c r="DD33" s="444" t="s">
        <v>33</v>
      </c>
      <c r="DE33" s="444">
        <f t="shared" ref="DE33" si="73">SUM(DE34:DE39)</f>
        <v>18.658436923093696</v>
      </c>
      <c r="DF33" s="444" t="s">
        <v>33</v>
      </c>
      <c r="DG33" s="444" t="s">
        <v>33</v>
      </c>
      <c r="DH33" s="444" t="s">
        <v>33</v>
      </c>
      <c r="DI33" s="444" t="s">
        <v>33</v>
      </c>
      <c r="DJ33" s="495">
        <f t="shared" ref="DJ33" si="74">SUM(DJ34:DJ39)</f>
        <v>762</v>
      </c>
      <c r="DK33" s="444" t="s">
        <v>33</v>
      </c>
      <c r="DL33" s="444" t="s">
        <v>33</v>
      </c>
    </row>
    <row r="34" spans="1:116" s="491" customFormat="1" outlineLevel="1" x14ac:dyDescent="0.25">
      <c r="A34" s="13" t="s">
        <v>616</v>
      </c>
      <c r="B34" s="210" t="s">
        <v>621</v>
      </c>
      <c r="C34" s="410" t="s">
        <v>641</v>
      </c>
      <c r="D34" s="410">
        <f>Ф3!K32</f>
        <v>8.0554510516666671</v>
      </c>
      <c r="E34" s="410">
        <f>Ф3!P32</f>
        <v>8.0554510516666671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410" t="s">
        <v>33</v>
      </c>
      <c r="U34" s="503">
        <f>D34</f>
        <v>8.0554510516666671</v>
      </c>
      <c r="V34" s="210" t="s">
        <v>33</v>
      </c>
      <c r="W34" s="210" t="s">
        <v>33</v>
      </c>
      <c r="X34" s="210" t="s">
        <v>33</v>
      </c>
      <c r="Y34" s="210" t="s">
        <v>33</v>
      </c>
      <c r="Z34" s="210">
        <f>242+105</f>
        <v>347</v>
      </c>
      <c r="AA34" s="210" t="s">
        <v>33</v>
      </c>
      <c r="AB34" s="210" t="s">
        <v>33</v>
      </c>
      <c r="AC34" s="504">
        <f>E34</f>
        <v>8.0554510516666671</v>
      </c>
      <c r="AD34" s="210" t="s">
        <v>33</v>
      </c>
      <c r="AE34" s="210" t="s">
        <v>33</v>
      </c>
      <c r="AF34" s="210" t="s">
        <v>33</v>
      </c>
      <c r="AG34" s="210" t="s">
        <v>33</v>
      </c>
      <c r="AH34" s="210">
        <f>Z34</f>
        <v>347</v>
      </c>
      <c r="AI34" s="210" t="s">
        <v>33</v>
      </c>
      <c r="AJ34" s="210" t="s">
        <v>33</v>
      </c>
      <c r="AK34" s="210" t="s">
        <v>33</v>
      </c>
      <c r="AL34" s="210" t="s">
        <v>33</v>
      </c>
      <c r="AM34" s="210" t="s">
        <v>33</v>
      </c>
      <c r="AN34" s="210" t="s">
        <v>33</v>
      </c>
      <c r="AO34" s="210" t="s">
        <v>33</v>
      </c>
      <c r="AP34" s="210" t="s">
        <v>33</v>
      </c>
      <c r="AQ34" s="210" t="s">
        <v>33</v>
      </c>
      <c r="AR34" s="210" t="s">
        <v>33</v>
      </c>
      <c r="AS34" s="210" t="s">
        <v>33</v>
      </c>
      <c r="AT34" s="210" t="s">
        <v>33</v>
      </c>
      <c r="AU34" s="210" t="s">
        <v>33</v>
      </c>
      <c r="AV34" s="210" t="s">
        <v>33</v>
      </c>
      <c r="AW34" s="210" t="s">
        <v>33</v>
      </c>
      <c r="AX34" s="210" t="s">
        <v>33</v>
      </c>
      <c r="AY34" s="210" t="s">
        <v>33</v>
      </c>
      <c r="AZ34" s="210" t="s">
        <v>33</v>
      </c>
      <c r="BA34" s="210" t="s">
        <v>33</v>
      </c>
      <c r="BB34" s="210" t="s">
        <v>33</v>
      </c>
      <c r="BC34" s="210" t="s">
        <v>33</v>
      </c>
      <c r="BD34" s="210" t="s">
        <v>33</v>
      </c>
      <c r="BE34" s="210" t="s">
        <v>33</v>
      </c>
      <c r="BF34" s="210" t="s">
        <v>33</v>
      </c>
      <c r="BG34" s="210" t="s">
        <v>33</v>
      </c>
      <c r="BH34" s="210" t="s">
        <v>33</v>
      </c>
      <c r="BI34" s="210" t="s">
        <v>33</v>
      </c>
      <c r="BJ34" s="210" t="s">
        <v>33</v>
      </c>
      <c r="BK34" s="210" t="s">
        <v>33</v>
      </c>
      <c r="BL34" s="210" t="s">
        <v>33</v>
      </c>
      <c r="BM34" s="210" t="s">
        <v>33</v>
      </c>
      <c r="BN34" s="210" t="s">
        <v>33</v>
      </c>
      <c r="BO34" s="210" t="s">
        <v>33</v>
      </c>
      <c r="BP34" s="210" t="s">
        <v>33</v>
      </c>
      <c r="BQ34" s="210" t="s">
        <v>33</v>
      </c>
      <c r="BR34" s="210" t="s">
        <v>33</v>
      </c>
      <c r="BS34" s="210" t="s">
        <v>33</v>
      </c>
      <c r="BT34" s="210" t="s">
        <v>33</v>
      </c>
      <c r="BU34" s="210" t="s">
        <v>33</v>
      </c>
      <c r="BV34" s="210" t="s">
        <v>33</v>
      </c>
      <c r="BW34" s="210" t="s">
        <v>33</v>
      </c>
      <c r="BX34" s="210" t="s">
        <v>33</v>
      </c>
      <c r="BY34" s="210" t="s">
        <v>33</v>
      </c>
      <c r="BZ34" s="210" t="s">
        <v>33</v>
      </c>
      <c r="CA34" s="210" t="s">
        <v>33</v>
      </c>
      <c r="CB34" s="210" t="s">
        <v>33</v>
      </c>
      <c r="CC34" s="210" t="s">
        <v>33</v>
      </c>
      <c r="CD34" s="210" t="s">
        <v>33</v>
      </c>
      <c r="CE34" s="210" t="s">
        <v>33</v>
      </c>
      <c r="CF34" s="210" t="s">
        <v>33</v>
      </c>
      <c r="CG34" s="210" t="s">
        <v>33</v>
      </c>
      <c r="CH34" s="210" t="s">
        <v>33</v>
      </c>
      <c r="CI34" s="210" t="s">
        <v>33</v>
      </c>
      <c r="CJ34" s="210" t="s">
        <v>33</v>
      </c>
      <c r="CK34" s="210" t="s">
        <v>33</v>
      </c>
      <c r="CL34" s="210" t="s">
        <v>33</v>
      </c>
      <c r="CM34" s="210" t="s">
        <v>33</v>
      </c>
      <c r="CN34" s="210" t="s">
        <v>33</v>
      </c>
      <c r="CO34" s="210" t="s">
        <v>33</v>
      </c>
      <c r="CP34" s="210" t="s">
        <v>33</v>
      </c>
      <c r="CQ34" s="210" t="s">
        <v>33</v>
      </c>
      <c r="CR34" s="210" t="s">
        <v>33</v>
      </c>
      <c r="CS34" s="210" t="s">
        <v>33</v>
      </c>
      <c r="CT34" s="210" t="s">
        <v>33</v>
      </c>
      <c r="CU34" s="210" t="s">
        <v>33</v>
      </c>
      <c r="CV34" s="210" t="s">
        <v>33</v>
      </c>
      <c r="CW34" s="410">
        <f>D34</f>
        <v>8.0554510516666671</v>
      </c>
      <c r="CX34" s="210" t="s">
        <v>33</v>
      </c>
      <c r="CY34" s="210" t="s">
        <v>33</v>
      </c>
      <c r="CZ34" s="210" t="s">
        <v>33</v>
      </c>
      <c r="DA34" s="210" t="s">
        <v>33</v>
      </c>
      <c r="DB34" s="210">
        <f>Z34</f>
        <v>347</v>
      </c>
      <c r="DC34" s="210" t="s">
        <v>33</v>
      </c>
      <c r="DD34" s="210" t="s">
        <v>33</v>
      </c>
      <c r="DE34" s="504">
        <f>E34</f>
        <v>8.0554510516666671</v>
      </c>
      <c r="DF34" s="210" t="s">
        <v>33</v>
      </c>
      <c r="DG34" s="210" t="s">
        <v>33</v>
      </c>
      <c r="DH34" s="210" t="s">
        <v>33</v>
      </c>
      <c r="DI34" s="210" t="s">
        <v>33</v>
      </c>
      <c r="DJ34" s="210">
        <f>AH34</f>
        <v>347</v>
      </c>
      <c r="DK34" s="210" t="s">
        <v>33</v>
      </c>
      <c r="DL34" s="210" t="s">
        <v>33</v>
      </c>
    </row>
    <row r="35" spans="1:116" s="491" customFormat="1" outlineLevel="1" x14ac:dyDescent="0.25">
      <c r="A35" s="13" t="s">
        <v>617</v>
      </c>
      <c r="B35" s="210" t="s">
        <v>621</v>
      </c>
      <c r="C35" s="410" t="s">
        <v>1359</v>
      </c>
      <c r="D35" s="410">
        <f>Ф3!K33</f>
        <v>5.8877787503733332</v>
      </c>
      <c r="E35" s="410" t="str">
        <f>Ф3!P33</f>
        <v>нд</v>
      </c>
      <c r="F35" s="210" t="s">
        <v>33</v>
      </c>
      <c r="G35" s="210" t="s">
        <v>33</v>
      </c>
      <c r="H35" s="210" t="s">
        <v>33</v>
      </c>
      <c r="I35" s="210" t="s">
        <v>33</v>
      </c>
      <c r="J35" s="210" t="s">
        <v>33</v>
      </c>
      <c r="K35" s="210" t="s">
        <v>33</v>
      </c>
      <c r="L35" s="210" t="s">
        <v>33</v>
      </c>
      <c r="M35" s="210" t="s">
        <v>33</v>
      </c>
      <c r="N35" s="210" t="s">
        <v>33</v>
      </c>
      <c r="O35" s="210" t="s">
        <v>33</v>
      </c>
      <c r="P35" s="210" t="s">
        <v>33</v>
      </c>
      <c r="Q35" s="210" t="s">
        <v>33</v>
      </c>
      <c r="R35" s="210" t="s">
        <v>33</v>
      </c>
      <c r="S35" s="210" t="s">
        <v>33</v>
      </c>
      <c r="T35" s="410" t="s">
        <v>33</v>
      </c>
      <c r="U35" s="210" t="s">
        <v>33</v>
      </c>
      <c r="V35" s="210" t="s">
        <v>33</v>
      </c>
      <c r="W35" s="210" t="s">
        <v>33</v>
      </c>
      <c r="X35" s="210" t="s">
        <v>33</v>
      </c>
      <c r="Y35" s="210" t="s">
        <v>33</v>
      </c>
      <c r="Z35" s="210" t="s">
        <v>33</v>
      </c>
      <c r="AA35" s="210" t="s">
        <v>33</v>
      </c>
      <c r="AB35" s="210" t="s">
        <v>33</v>
      </c>
      <c r="AC35" s="210" t="s">
        <v>33</v>
      </c>
      <c r="AD35" s="210" t="s">
        <v>33</v>
      </c>
      <c r="AE35" s="210" t="s">
        <v>33</v>
      </c>
      <c r="AF35" s="210" t="s">
        <v>33</v>
      </c>
      <c r="AG35" s="210" t="s">
        <v>33</v>
      </c>
      <c r="AH35" s="210" t="s">
        <v>33</v>
      </c>
      <c r="AI35" s="210" t="s">
        <v>33</v>
      </c>
      <c r="AJ35" s="210" t="s">
        <v>33</v>
      </c>
      <c r="AK35" s="410">
        <f>D35</f>
        <v>5.8877787503733332</v>
      </c>
      <c r="AL35" s="210" t="s">
        <v>33</v>
      </c>
      <c r="AM35" s="210" t="s">
        <v>33</v>
      </c>
      <c r="AN35" s="210" t="s">
        <v>33</v>
      </c>
      <c r="AO35" s="210" t="s">
        <v>33</v>
      </c>
      <c r="AP35" s="210">
        <f>192+95</f>
        <v>287</v>
      </c>
      <c r="AQ35" s="210" t="s">
        <v>33</v>
      </c>
      <c r="AR35" s="210" t="s">
        <v>33</v>
      </c>
      <c r="AS35" s="210" t="str">
        <f>U35</f>
        <v>нд</v>
      </c>
      <c r="AT35" s="210" t="s">
        <v>33</v>
      </c>
      <c r="AU35" s="210" t="s">
        <v>33</v>
      </c>
      <c r="AV35" s="210" t="s">
        <v>33</v>
      </c>
      <c r="AW35" s="210" t="s">
        <v>33</v>
      </c>
      <c r="AX35" s="210" t="s">
        <v>33</v>
      </c>
      <c r="AY35" s="210" t="s">
        <v>33</v>
      </c>
      <c r="AZ35" s="210" t="s">
        <v>33</v>
      </c>
      <c r="BA35" s="210" t="s">
        <v>33</v>
      </c>
      <c r="BB35" s="210" t="s">
        <v>33</v>
      </c>
      <c r="BC35" s="210" t="s">
        <v>33</v>
      </c>
      <c r="BD35" s="210" t="s">
        <v>33</v>
      </c>
      <c r="BE35" s="210" t="s">
        <v>33</v>
      </c>
      <c r="BF35" s="210" t="s">
        <v>33</v>
      </c>
      <c r="BG35" s="210" t="s">
        <v>33</v>
      </c>
      <c r="BH35" s="210" t="s">
        <v>33</v>
      </c>
      <c r="BI35" s="210" t="s">
        <v>33</v>
      </c>
      <c r="BJ35" s="210" t="s">
        <v>33</v>
      </c>
      <c r="BK35" s="210" t="s">
        <v>33</v>
      </c>
      <c r="BL35" s="210" t="s">
        <v>33</v>
      </c>
      <c r="BM35" s="210" t="s">
        <v>33</v>
      </c>
      <c r="BN35" s="210" t="s">
        <v>33</v>
      </c>
      <c r="BO35" s="210" t="s">
        <v>33</v>
      </c>
      <c r="BP35" s="210" t="s">
        <v>33</v>
      </c>
      <c r="BQ35" s="210" t="s">
        <v>33</v>
      </c>
      <c r="BR35" s="210" t="s">
        <v>33</v>
      </c>
      <c r="BS35" s="210" t="s">
        <v>33</v>
      </c>
      <c r="BT35" s="210" t="s">
        <v>33</v>
      </c>
      <c r="BU35" s="210" t="s">
        <v>33</v>
      </c>
      <c r="BV35" s="210" t="s">
        <v>33</v>
      </c>
      <c r="BW35" s="210" t="s">
        <v>33</v>
      </c>
      <c r="BX35" s="210" t="s">
        <v>33</v>
      </c>
      <c r="BY35" s="210" t="s">
        <v>33</v>
      </c>
      <c r="BZ35" s="210" t="s">
        <v>33</v>
      </c>
      <c r="CA35" s="210" t="s">
        <v>33</v>
      </c>
      <c r="CB35" s="210" t="s">
        <v>33</v>
      </c>
      <c r="CC35" s="210" t="s">
        <v>33</v>
      </c>
      <c r="CD35" s="210" t="s">
        <v>33</v>
      </c>
      <c r="CE35" s="210" t="s">
        <v>33</v>
      </c>
      <c r="CF35" s="210" t="s">
        <v>33</v>
      </c>
      <c r="CG35" s="210" t="s">
        <v>33</v>
      </c>
      <c r="CH35" s="210" t="s">
        <v>33</v>
      </c>
      <c r="CI35" s="210" t="s">
        <v>33</v>
      </c>
      <c r="CJ35" s="210" t="s">
        <v>33</v>
      </c>
      <c r="CK35" s="210" t="s">
        <v>33</v>
      </c>
      <c r="CL35" s="210" t="s">
        <v>33</v>
      </c>
      <c r="CM35" s="210" t="s">
        <v>33</v>
      </c>
      <c r="CN35" s="210" t="s">
        <v>33</v>
      </c>
      <c r="CO35" s="210" t="s">
        <v>33</v>
      </c>
      <c r="CP35" s="210" t="s">
        <v>33</v>
      </c>
      <c r="CQ35" s="210" t="s">
        <v>33</v>
      </c>
      <c r="CR35" s="210" t="s">
        <v>33</v>
      </c>
      <c r="CS35" s="210" t="s">
        <v>33</v>
      </c>
      <c r="CT35" s="210" t="s">
        <v>33</v>
      </c>
      <c r="CU35" s="210" t="s">
        <v>33</v>
      </c>
      <c r="CV35" s="210" t="s">
        <v>33</v>
      </c>
      <c r="CW35" s="410">
        <f t="shared" ref="CW35:CW39" si="75">D35</f>
        <v>5.8877787503733332</v>
      </c>
      <c r="CX35" s="210" t="s">
        <v>33</v>
      </c>
      <c r="CY35" s="210" t="s">
        <v>33</v>
      </c>
      <c r="CZ35" s="210" t="s">
        <v>33</v>
      </c>
      <c r="DA35" s="210" t="s">
        <v>33</v>
      </c>
      <c r="DB35" s="210">
        <f>AP35</f>
        <v>287</v>
      </c>
      <c r="DC35" s="210" t="s">
        <v>33</v>
      </c>
      <c r="DD35" s="210" t="s">
        <v>33</v>
      </c>
      <c r="DE35" s="210" t="s">
        <v>33</v>
      </c>
      <c r="DF35" s="210" t="s">
        <v>33</v>
      </c>
      <c r="DG35" s="210" t="s">
        <v>33</v>
      </c>
      <c r="DH35" s="210" t="s">
        <v>33</v>
      </c>
      <c r="DI35" s="210" t="s">
        <v>33</v>
      </c>
      <c r="DJ35" s="210" t="s">
        <v>33</v>
      </c>
      <c r="DK35" s="210" t="s">
        <v>33</v>
      </c>
      <c r="DL35" s="210" t="s">
        <v>33</v>
      </c>
    </row>
    <row r="36" spans="1:116" s="491" customFormat="1" outlineLevel="1" x14ac:dyDescent="0.25">
      <c r="A36" s="13" t="s">
        <v>618</v>
      </c>
      <c r="B36" s="210" t="s">
        <v>621</v>
      </c>
      <c r="C36" s="410" t="s">
        <v>1360</v>
      </c>
      <c r="D36" s="410">
        <f>Ф3!K34</f>
        <v>3.7237258865857399</v>
      </c>
      <c r="E36" s="410" t="str">
        <f>Ф3!P34</f>
        <v>нд</v>
      </c>
      <c r="F36" s="210" t="s">
        <v>33</v>
      </c>
      <c r="G36" s="210" t="s">
        <v>33</v>
      </c>
      <c r="H36" s="210" t="s">
        <v>33</v>
      </c>
      <c r="I36" s="210" t="s">
        <v>33</v>
      </c>
      <c r="J36" s="210" t="s">
        <v>33</v>
      </c>
      <c r="K36" s="210" t="s">
        <v>33</v>
      </c>
      <c r="L36" s="210" t="s">
        <v>33</v>
      </c>
      <c r="M36" s="210" t="s">
        <v>33</v>
      </c>
      <c r="N36" s="210" t="s">
        <v>33</v>
      </c>
      <c r="O36" s="210" t="s">
        <v>33</v>
      </c>
      <c r="P36" s="210" t="s">
        <v>33</v>
      </c>
      <c r="Q36" s="210" t="s">
        <v>33</v>
      </c>
      <c r="R36" s="210" t="s">
        <v>33</v>
      </c>
      <c r="S36" s="210" t="s">
        <v>33</v>
      </c>
      <c r="T36" s="410" t="s">
        <v>33</v>
      </c>
      <c r="U36" s="210" t="s">
        <v>33</v>
      </c>
      <c r="V36" s="210" t="s">
        <v>33</v>
      </c>
      <c r="W36" s="210" t="s">
        <v>33</v>
      </c>
      <c r="X36" s="210" t="s">
        <v>33</v>
      </c>
      <c r="Y36" s="210" t="s">
        <v>33</v>
      </c>
      <c r="Z36" s="210" t="s">
        <v>33</v>
      </c>
      <c r="AA36" s="210" t="s">
        <v>33</v>
      </c>
      <c r="AB36" s="210" t="s">
        <v>33</v>
      </c>
      <c r="AC36" s="210" t="s">
        <v>33</v>
      </c>
      <c r="AD36" s="210" t="s">
        <v>33</v>
      </c>
      <c r="AE36" s="210" t="s">
        <v>33</v>
      </c>
      <c r="AF36" s="210" t="s">
        <v>33</v>
      </c>
      <c r="AG36" s="210" t="s">
        <v>33</v>
      </c>
      <c r="AH36" s="210" t="s">
        <v>33</v>
      </c>
      <c r="AI36" s="210" t="s">
        <v>33</v>
      </c>
      <c r="AJ36" s="210" t="s">
        <v>33</v>
      </c>
      <c r="AK36" s="210" t="s">
        <v>33</v>
      </c>
      <c r="AL36" s="210" t="s">
        <v>33</v>
      </c>
      <c r="AM36" s="210" t="s">
        <v>33</v>
      </c>
      <c r="AN36" s="210" t="s">
        <v>33</v>
      </c>
      <c r="AO36" s="210" t="s">
        <v>33</v>
      </c>
      <c r="AP36" s="210" t="s">
        <v>33</v>
      </c>
      <c r="AQ36" s="210" t="s">
        <v>33</v>
      </c>
      <c r="AR36" s="210" t="s">
        <v>33</v>
      </c>
      <c r="AS36" s="210" t="s">
        <v>33</v>
      </c>
      <c r="AT36" s="210" t="s">
        <v>33</v>
      </c>
      <c r="AU36" s="210" t="s">
        <v>33</v>
      </c>
      <c r="AV36" s="210" t="s">
        <v>33</v>
      </c>
      <c r="AW36" s="210" t="s">
        <v>33</v>
      </c>
      <c r="AX36" s="210" t="s">
        <v>33</v>
      </c>
      <c r="AY36" s="210" t="s">
        <v>33</v>
      </c>
      <c r="AZ36" s="210" t="s">
        <v>33</v>
      </c>
      <c r="BA36" s="410">
        <f>D36</f>
        <v>3.7237258865857399</v>
      </c>
      <c r="BB36" s="210" t="s">
        <v>33</v>
      </c>
      <c r="BC36" s="210" t="s">
        <v>33</v>
      </c>
      <c r="BD36" s="210" t="s">
        <v>33</v>
      </c>
      <c r="BE36" s="210" t="s">
        <v>33</v>
      </c>
      <c r="BF36" s="210">
        <v>171</v>
      </c>
      <c r="BG36" s="210" t="s">
        <v>33</v>
      </c>
      <c r="BH36" s="210" t="s">
        <v>33</v>
      </c>
      <c r="BI36" s="210" t="s">
        <v>33</v>
      </c>
      <c r="BJ36" s="210" t="s">
        <v>33</v>
      </c>
      <c r="BK36" s="210" t="s">
        <v>33</v>
      </c>
      <c r="BL36" s="210" t="s">
        <v>33</v>
      </c>
      <c r="BM36" s="210" t="s">
        <v>33</v>
      </c>
      <c r="BN36" s="210" t="s">
        <v>33</v>
      </c>
      <c r="BO36" s="210" t="s">
        <v>33</v>
      </c>
      <c r="BP36" s="210" t="s">
        <v>33</v>
      </c>
      <c r="BQ36" s="210" t="s">
        <v>33</v>
      </c>
      <c r="BR36" s="210" t="s">
        <v>33</v>
      </c>
      <c r="BS36" s="210" t="s">
        <v>33</v>
      </c>
      <c r="BT36" s="210" t="s">
        <v>33</v>
      </c>
      <c r="BU36" s="210" t="s">
        <v>33</v>
      </c>
      <c r="BV36" s="210" t="s">
        <v>33</v>
      </c>
      <c r="BW36" s="210" t="s">
        <v>33</v>
      </c>
      <c r="BX36" s="210" t="s">
        <v>33</v>
      </c>
      <c r="BY36" s="210" t="s">
        <v>33</v>
      </c>
      <c r="BZ36" s="210" t="s">
        <v>33</v>
      </c>
      <c r="CA36" s="210" t="s">
        <v>33</v>
      </c>
      <c r="CB36" s="210" t="s">
        <v>33</v>
      </c>
      <c r="CC36" s="210" t="s">
        <v>33</v>
      </c>
      <c r="CD36" s="210" t="s">
        <v>33</v>
      </c>
      <c r="CE36" s="210" t="s">
        <v>33</v>
      </c>
      <c r="CF36" s="210" t="s">
        <v>33</v>
      </c>
      <c r="CG36" s="210" t="s">
        <v>33</v>
      </c>
      <c r="CH36" s="210" t="s">
        <v>33</v>
      </c>
      <c r="CI36" s="210" t="s">
        <v>33</v>
      </c>
      <c r="CJ36" s="210" t="s">
        <v>33</v>
      </c>
      <c r="CK36" s="210" t="s">
        <v>33</v>
      </c>
      <c r="CL36" s="210" t="s">
        <v>33</v>
      </c>
      <c r="CM36" s="210" t="s">
        <v>33</v>
      </c>
      <c r="CN36" s="210" t="s">
        <v>33</v>
      </c>
      <c r="CO36" s="210" t="s">
        <v>33</v>
      </c>
      <c r="CP36" s="210" t="s">
        <v>33</v>
      </c>
      <c r="CQ36" s="210" t="s">
        <v>33</v>
      </c>
      <c r="CR36" s="210" t="s">
        <v>33</v>
      </c>
      <c r="CS36" s="210" t="s">
        <v>33</v>
      </c>
      <c r="CT36" s="210" t="s">
        <v>33</v>
      </c>
      <c r="CU36" s="210" t="s">
        <v>33</v>
      </c>
      <c r="CV36" s="210" t="s">
        <v>33</v>
      </c>
      <c r="CW36" s="410">
        <f t="shared" si="75"/>
        <v>3.7237258865857399</v>
      </c>
      <c r="CX36" s="210" t="s">
        <v>33</v>
      </c>
      <c r="CY36" s="210" t="s">
        <v>33</v>
      </c>
      <c r="CZ36" s="210" t="s">
        <v>33</v>
      </c>
      <c r="DA36" s="210" t="s">
        <v>33</v>
      </c>
      <c r="DB36" s="210">
        <f>BF36</f>
        <v>171</v>
      </c>
      <c r="DC36" s="210" t="s">
        <v>33</v>
      </c>
      <c r="DD36" s="210" t="s">
        <v>33</v>
      </c>
      <c r="DE36" s="210" t="s">
        <v>33</v>
      </c>
      <c r="DF36" s="210" t="s">
        <v>33</v>
      </c>
      <c r="DG36" s="210" t="s">
        <v>33</v>
      </c>
      <c r="DH36" s="210" t="s">
        <v>33</v>
      </c>
      <c r="DI36" s="210" t="s">
        <v>33</v>
      </c>
      <c r="DJ36" s="210" t="s">
        <v>33</v>
      </c>
      <c r="DK36" s="210" t="s">
        <v>33</v>
      </c>
      <c r="DL36" s="210" t="s">
        <v>33</v>
      </c>
    </row>
    <row r="37" spans="1:116" s="491" customFormat="1" ht="31.5" outlineLevel="1" x14ac:dyDescent="0.25">
      <c r="A37" s="13" t="s">
        <v>619</v>
      </c>
      <c r="B37" s="210" t="s">
        <v>1334</v>
      </c>
      <c r="C37" s="410" t="s">
        <v>1341</v>
      </c>
      <c r="D37" s="410" t="str">
        <f>Ф3!K35</f>
        <v>нд</v>
      </c>
      <c r="E37" s="410">
        <f>Ф3!P35</f>
        <v>1.0805480000000001</v>
      </c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410" t="s">
        <v>33</v>
      </c>
      <c r="U37" s="210" t="s">
        <v>33</v>
      </c>
      <c r="V37" s="210" t="s">
        <v>33</v>
      </c>
      <c r="W37" s="210" t="s">
        <v>33</v>
      </c>
      <c r="X37" s="210" t="s">
        <v>33</v>
      </c>
      <c r="Y37" s="210" t="s">
        <v>33</v>
      </c>
      <c r="Z37" s="210" t="s">
        <v>33</v>
      </c>
      <c r="AA37" s="210" t="s">
        <v>33</v>
      </c>
      <c r="AB37" s="210" t="s">
        <v>33</v>
      </c>
      <c r="AC37" s="210" t="s">
        <v>33</v>
      </c>
      <c r="AD37" s="210" t="s">
        <v>33</v>
      </c>
      <c r="AE37" s="210" t="s">
        <v>33</v>
      </c>
      <c r="AF37" s="210" t="s">
        <v>33</v>
      </c>
      <c r="AG37" s="210" t="s">
        <v>33</v>
      </c>
      <c r="AH37" s="210" t="s">
        <v>33</v>
      </c>
      <c r="AI37" s="210" t="s">
        <v>33</v>
      </c>
      <c r="AJ37" s="210" t="s">
        <v>33</v>
      </c>
      <c r="AK37" s="210" t="s">
        <v>33</v>
      </c>
      <c r="AL37" s="210" t="s">
        <v>33</v>
      </c>
      <c r="AM37" s="210" t="s">
        <v>33</v>
      </c>
      <c r="AN37" s="210" t="s">
        <v>33</v>
      </c>
      <c r="AO37" s="210" t="s">
        <v>33</v>
      </c>
      <c r="AP37" s="210" t="s">
        <v>33</v>
      </c>
      <c r="AQ37" s="210" t="s">
        <v>33</v>
      </c>
      <c r="AR37" s="210" t="s">
        <v>33</v>
      </c>
      <c r="AS37" s="210" t="s">
        <v>33</v>
      </c>
      <c r="AT37" s="210" t="s">
        <v>33</v>
      </c>
      <c r="AU37" s="210" t="s">
        <v>33</v>
      </c>
      <c r="AV37" s="210" t="s">
        <v>33</v>
      </c>
      <c r="AW37" s="210" t="s">
        <v>33</v>
      </c>
      <c r="AX37" s="210" t="s">
        <v>33</v>
      </c>
      <c r="AY37" s="210" t="s">
        <v>33</v>
      </c>
      <c r="AZ37" s="210" t="s">
        <v>33</v>
      </c>
      <c r="BA37" s="210" t="s">
        <v>33</v>
      </c>
      <c r="BB37" s="210" t="s">
        <v>33</v>
      </c>
      <c r="BC37" s="210" t="s">
        <v>33</v>
      </c>
      <c r="BD37" s="210" t="s">
        <v>33</v>
      </c>
      <c r="BE37" s="210" t="s">
        <v>33</v>
      </c>
      <c r="BF37" s="210" t="s">
        <v>33</v>
      </c>
      <c r="BG37" s="210" t="s">
        <v>33</v>
      </c>
      <c r="BH37" s="210" t="s">
        <v>33</v>
      </c>
      <c r="BI37" s="504">
        <f>E37</f>
        <v>1.0805480000000001</v>
      </c>
      <c r="BJ37" s="210" t="s">
        <v>33</v>
      </c>
      <c r="BK37" s="210" t="s">
        <v>33</v>
      </c>
      <c r="BL37" s="210" t="s">
        <v>33</v>
      </c>
      <c r="BM37" s="210" t="s">
        <v>33</v>
      </c>
      <c r="BN37" s="505">
        <v>1</v>
      </c>
      <c r="BO37" s="210" t="s">
        <v>33</v>
      </c>
      <c r="BP37" s="210" t="s">
        <v>33</v>
      </c>
      <c r="BQ37" s="210" t="s">
        <v>33</v>
      </c>
      <c r="BR37" s="210" t="s">
        <v>33</v>
      </c>
      <c r="BS37" s="210" t="s">
        <v>33</v>
      </c>
      <c r="BT37" s="210" t="s">
        <v>33</v>
      </c>
      <c r="BU37" s="210" t="s">
        <v>33</v>
      </c>
      <c r="BV37" s="210" t="s">
        <v>33</v>
      </c>
      <c r="BW37" s="210" t="s">
        <v>33</v>
      </c>
      <c r="BX37" s="210" t="s">
        <v>33</v>
      </c>
      <c r="BY37" s="210" t="s">
        <v>33</v>
      </c>
      <c r="BZ37" s="210" t="s">
        <v>33</v>
      </c>
      <c r="CA37" s="210" t="s">
        <v>33</v>
      </c>
      <c r="CB37" s="210" t="s">
        <v>33</v>
      </c>
      <c r="CC37" s="210" t="s">
        <v>33</v>
      </c>
      <c r="CD37" s="210" t="s">
        <v>33</v>
      </c>
      <c r="CE37" s="210" t="s">
        <v>33</v>
      </c>
      <c r="CF37" s="210" t="s">
        <v>33</v>
      </c>
      <c r="CG37" s="210" t="s">
        <v>33</v>
      </c>
      <c r="CH37" s="210" t="s">
        <v>33</v>
      </c>
      <c r="CI37" s="210" t="s">
        <v>33</v>
      </c>
      <c r="CJ37" s="210" t="s">
        <v>33</v>
      </c>
      <c r="CK37" s="210" t="s">
        <v>33</v>
      </c>
      <c r="CL37" s="210" t="s">
        <v>33</v>
      </c>
      <c r="CM37" s="210" t="s">
        <v>33</v>
      </c>
      <c r="CN37" s="210" t="s">
        <v>33</v>
      </c>
      <c r="CO37" s="210" t="s">
        <v>33</v>
      </c>
      <c r="CP37" s="210" t="s">
        <v>33</v>
      </c>
      <c r="CQ37" s="210" t="s">
        <v>33</v>
      </c>
      <c r="CR37" s="210" t="s">
        <v>33</v>
      </c>
      <c r="CS37" s="210" t="s">
        <v>33</v>
      </c>
      <c r="CT37" s="210" t="s">
        <v>33</v>
      </c>
      <c r="CU37" s="210" t="s">
        <v>33</v>
      </c>
      <c r="CV37" s="210" t="s">
        <v>33</v>
      </c>
      <c r="CW37" s="210" t="s">
        <v>33</v>
      </c>
      <c r="CX37" s="210" t="s">
        <v>33</v>
      </c>
      <c r="CY37" s="210" t="s">
        <v>33</v>
      </c>
      <c r="CZ37" s="210" t="s">
        <v>33</v>
      </c>
      <c r="DA37" s="210" t="s">
        <v>33</v>
      </c>
      <c r="DB37" s="210" t="s">
        <v>33</v>
      </c>
      <c r="DC37" s="210" t="s">
        <v>33</v>
      </c>
      <c r="DD37" s="210" t="s">
        <v>33</v>
      </c>
      <c r="DE37" s="504">
        <f>E37</f>
        <v>1.0805480000000001</v>
      </c>
      <c r="DF37" s="210" t="s">
        <v>33</v>
      </c>
      <c r="DG37" s="210" t="s">
        <v>33</v>
      </c>
      <c r="DH37" s="210" t="s">
        <v>33</v>
      </c>
      <c r="DI37" s="210" t="s">
        <v>33</v>
      </c>
      <c r="DJ37" s="505">
        <f>BN37</f>
        <v>1</v>
      </c>
      <c r="DK37" s="210" t="s">
        <v>33</v>
      </c>
      <c r="DL37" s="210" t="s">
        <v>33</v>
      </c>
    </row>
    <row r="38" spans="1:116" s="491" customFormat="1" outlineLevel="1" x14ac:dyDescent="0.25">
      <c r="A38" s="13" t="s">
        <v>620</v>
      </c>
      <c r="B38" s="210" t="s">
        <v>621</v>
      </c>
      <c r="C38" s="410" t="s">
        <v>644</v>
      </c>
      <c r="D38" s="410">
        <f>Ф3!K36</f>
        <v>4.5097833280740725</v>
      </c>
      <c r="E38" s="410">
        <f>Ф3!P36</f>
        <v>4.5097833280740725</v>
      </c>
      <c r="F38" s="210" t="s">
        <v>33</v>
      </c>
      <c r="G38" s="210" t="s">
        <v>33</v>
      </c>
      <c r="H38" s="210" t="s">
        <v>33</v>
      </c>
      <c r="I38" s="210" t="s">
        <v>33</v>
      </c>
      <c r="J38" s="210" t="s">
        <v>33</v>
      </c>
      <c r="K38" s="210" t="s">
        <v>33</v>
      </c>
      <c r="L38" s="210" t="s">
        <v>33</v>
      </c>
      <c r="M38" s="210" t="s">
        <v>33</v>
      </c>
      <c r="N38" s="210" t="s">
        <v>33</v>
      </c>
      <c r="O38" s="210" t="s">
        <v>33</v>
      </c>
      <c r="P38" s="210" t="s">
        <v>33</v>
      </c>
      <c r="Q38" s="210" t="s">
        <v>33</v>
      </c>
      <c r="R38" s="210" t="s">
        <v>33</v>
      </c>
      <c r="S38" s="210" t="s">
        <v>33</v>
      </c>
      <c r="T38" s="410" t="s">
        <v>33</v>
      </c>
      <c r="U38" s="210" t="s">
        <v>33</v>
      </c>
      <c r="V38" s="210" t="s">
        <v>33</v>
      </c>
      <c r="W38" s="210" t="s">
        <v>33</v>
      </c>
      <c r="X38" s="210" t="s">
        <v>33</v>
      </c>
      <c r="Y38" s="210" t="s">
        <v>33</v>
      </c>
      <c r="Z38" s="210" t="s">
        <v>33</v>
      </c>
      <c r="AA38" s="210" t="s">
        <v>33</v>
      </c>
      <c r="AB38" s="210" t="s">
        <v>33</v>
      </c>
      <c r="AC38" s="210" t="s">
        <v>33</v>
      </c>
      <c r="AD38" s="210" t="s">
        <v>33</v>
      </c>
      <c r="AE38" s="210" t="s">
        <v>33</v>
      </c>
      <c r="AF38" s="210" t="s">
        <v>33</v>
      </c>
      <c r="AG38" s="210" t="s">
        <v>33</v>
      </c>
      <c r="AH38" s="210" t="s">
        <v>33</v>
      </c>
      <c r="AI38" s="210" t="s">
        <v>33</v>
      </c>
      <c r="AJ38" s="210" t="s">
        <v>33</v>
      </c>
      <c r="AK38" s="210" t="s">
        <v>33</v>
      </c>
      <c r="AL38" s="210" t="s">
        <v>33</v>
      </c>
      <c r="AM38" s="210" t="s">
        <v>33</v>
      </c>
      <c r="AN38" s="210" t="s">
        <v>33</v>
      </c>
      <c r="AO38" s="210" t="s">
        <v>33</v>
      </c>
      <c r="AP38" s="210" t="s">
        <v>33</v>
      </c>
      <c r="AQ38" s="210" t="s">
        <v>33</v>
      </c>
      <c r="AR38" s="210" t="s">
        <v>33</v>
      </c>
      <c r="AS38" s="210" t="s">
        <v>33</v>
      </c>
      <c r="AT38" s="210" t="s">
        <v>33</v>
      </c>
      <c r="AU38" s="210" t="s">
        <v>33</v>
      </c>
      <c r="AV38" s="210" t="s">
        <v>33</v>
      </c>
      <c r="AW38" s="210" t="s">
        <v>33</v>
      </c>
      <c r="AX38" s="210" t="s">
        <v>33</v>
      </c>
      <c r="AY38" s="210" t="s">
        <v>33</v>
      </c>
      <c r="AZ38" s="210" t="s">
        <v>33</v>
      </c>
      <c r="BA38" s="210" t="s">
        <v>33</v>
      </c>
      <c r="BB38" s="210" t="s">
        <v>33</v>
      </c>
      <c r="BC38" s="210" t="s">
        <v>33</v>
      </c>
      <c r="BD38" s="210" t="s">
        <v>33</v>
      </c>
      <c r="BE38" s="210" t="s">
        <v>33</v>
      </c>
      <c r="BF38" s="210" t="s">
        <v>33</v>
      </c>
      <c r="BG38" s="210" t="s">
        <v>33</v>
      </c>
      <c r="BH38" s="210" t="s">
        <v>33</v>
      </c>
      <c r="BI38" s="210" t="s">
        <v>33</v>
      </c>
      <c r="BJ38" s="210" t="s">
        <v>33</v>
      </c>
      <c r="BK38" s="210" t="s">
        <v>33</v>
      </c>
      <c r="BL38" s="210" t="s">
        <v>33</v>
      </c>
      <c r="BM38" s="210" t="s">
        <v>33</v>
      </c>
      <c r="BN38" s="210" t="s">
        <v>33</v>
      </c>
      <c r="BO38" s="210" t="s">
        <v>33</v>
      </c>
      <c r="BP38" s="210" t="s">
        <v>33</v>
      </c>
      <c r="BQ38" s="410">
        <f>D38</f>
        <v>4.5097833280740725</v>
      </c>
      <c r="BR38" s="210" t="s">
        <v>33</v>
      </c>
      <c r="BS38" s="210" t="s">
        <v>33</v>
      </c>
      <c r="BT38" s="210" t="s">
        <v>33</v>
      </c>
      <c r="BU38" s="210" t="s">
        <v>33</v>
      </c>
      <c r="BV38" s="210">
        <v>201</v>
      </c>
      <c r="BW38" s="210" t="s">
        <v>33</v>
      </c>
      <c r="BX38" s="210" t="s">
        <v>33</v>
      </c>
      <c r="BY38" s="504">
        <f>E38</f>
        <v>4.5097833280740725</v>
      </c>
      <c r="BZ38" s="210" t="s">
        <v>33</v>
      </c>
      <c r="CA38" s="210" t="s">
        <v>33</v>
      </c>
      <c r="CB38" s="210" t="s">
        <v>33</v>
      </c>
      <c r="CC38" s="210" t="s">
        <v>33</v>
      </c>
      <c r="CD38" s="210">
        <v>201</v>
      </c>
      <c r="CE38" s="210" t="s">
        <v>33</v>
      </c>
      <c r="CF38" s="210" t="s">
        <v>33</v>
      </c>
      <c r="CG38" s="210" t="s">
        <v>33</v>
      </c>
      <c r="CH38" s="210" t="s">
        <v>33</v>
      </c>
      <c r="CI38" s="210" t="s">
        <v>33</v>
      </c>
      <c r="CJ38" s="210" t="s">
        <v>33</v>
      </c>
      <c r="CK38" s="210" t="s">
        <v>33</v>
      </c>
      <c r="CL38" s="210" t="s">
        <v>33</v>
      </c>
      <c r="CM38" s="210" t="s">
        <v>33</v>
      </c>
      <c r="CN38" s="210" t="s">
        <v>33</v>
      </c>
      <c r="CO38" s="210" t="s">
        <v>33</v>
      </c>
      <c r="CP38" s="210" t="s">
        <v>33</v>
      </c>
      <c r="CQ38" s="210" t="s">
        <v>33</v>
      </c>
      <c r="CR38" s="210" t="s">
        <v>33</v>
      </c>
      <c r="CS38" s="210" t="s">
        <v>33</v>
      </c>
      <c r="CT38" s="210" t="s">
        <v>33</v>
      </c>
      <c r="CU38" s="210" t="s">
        <v>33</v>
      </c>
      <c r="CV38" s="210" t="s">
        <v>33</v>
      </c>
      <c r="CW38" s="410">
        <f t="shared" si="75"/>
        <v>4.5097833280740725</v>
      </c>
      <c r="CX38" s="210" t="s">
        <v>33</v>
      </c>
      <c r="CY38" s="210" t="s">
        <v>33</v>
      </c>
      <c r="CZ38" s="210" t="s">
        <v>33</v>
      </c>
      <c r="DA38" s="210" t="s">
        <v>33</v>
      </c>
      <c r="DB38" s="210">
        <f>BV38</f>
        <v>201</v>
      </c>
      <c r="DC38" s="210" t="s">
        <v>33</v>
      </c>
      <c r="DD38" s="210" t="s">
        <v>33</v>
      </c>
      <c r="DE38" s="504">
        <f t="shared" ref="DE38:DE39" si="76">E38</f>
        <v>4.5097833280740725</v>
      </c>
      <c r="DF38" s="210" t="s">
        <v>33</v>
      </c>
      <c r="DG38" s="210" t="s">
        <v>33</v>
      </c>
      <c r="DH38" s="210" t="s">
        <v>33</v>
      </c>
      <c r="DI38" s="210" t="s">
        <v>33</v>
      </c>
      <c r="DJ38" s="210">
        <f>CD38</f>
        <v>201</v>
      </c>
      <c r="DK38" s="210" t="s">
        <v>33</v>
      </c>
      <c r="DL38" s="210" t="s">
        <v>33</v>
      </c>
    </row>
    <row r="39" spans="1:116" s="491" customFormat="1" outlineLevel="1" x14ac:dyDescent="0.25">
      <c r="A39" s="13" t="s">
        <v>1339</v>
      </c>
      <c r="B39" s="210" t="s">
        <v>621</v>
      </c>
      <c r="C39" s="410" t="s">
        <v>645</v>
      </c>
      <c r="D39" s="410">
        <f>Ф3!K37</f>
        <v>5.0126545433529532</v>
      </c>
      <c r="E39" s="410">
        <f>Ф3!P37</f>
        <v>5.0126545433529532</v>
      </c>
      <c r="F39" s="210" t="s">
        <v>33</v>
      </c>
      <c r="G39" s="210" t="s">
        <v>33</v>
      </c>
      <c r="H39" s="210" t="s">
        <v>33</v>
      </c>
      <c r="I39" s="210" t="s">
        <v>33</v>
      </c>
      <c r="J39" s="210" t="s">
        <v>33</v>
      </c>
      <c r="K39" s="210" t="s">
        <v>33</v>
      </c>
      <c r="L39" s="210" t="s">
        <v>33</v>
      </c>
      <c r="M39" s="210" t="s">
        <v>33</v>
      </c>
      <c r="N39" s="210" t="s">
        <v>33</v>
      </c>
      <c r="O39" s="210" t="s">
        <v>33</v>
      </c>
      <c r="P39" s="210" t="s">
        <v>33</v>
      </c>
      <c r="Q39" s="210" t="s">
        <v>33</v>
      </c>
      <c r="R39" s="210" t="s">
        <v>33</v>
      </c>
      <c r="S39" s="210" t="s">
        <v>33</v>
      </c>
      <c r="T39" s="410" t="s">
        <v>33</v>
      </c>
      <c r="U39" s="210" t="s">
        <v>33</v>
      </c>
      <c r="V39" s="210" t="s">
        <v>33</v>
      </c>
      <c r="W39" s="210" t="s">
        <v>33</v>
      </c>
      <c r="X39" s="210" t="s">
        <v>33</v>
      </c>
      <c r="Y39" s="210" t="s">
        <v>33</v>
      </c>
      <c r="Z39" s="210" t="s">
        <v>33</v>
      </c>
      <c r="AA39" s="210" t="s">
        <v>33</v>
      </c>
      <c r="AB39" s="210" t="s">
        <v>33</v>
      </c>
      <c r="AC39" s="210" t="s">
        <v>33</v>
      </c>
      <c r="AD39" s="210" t="s">
        <v>33</v>
      </c>
      <c r="AE39" s="210" t="s">
        <v>33</v>
      </c>
      <c r="AF39" s="210" t="s">
        <v>33</v>
      </c>
      <c r="AG39" s="210" t="s">
        <v>33</v>
      </c>
      <c r="AH39" s="210" t="s">
        <v>33</v>
      </c>
      <c r="AI39" s="210" t="s">
        <v>33</v>
      </c>
      <c r="AJ39" s="210" t="s">
        <v>33</v>
      </c>
      <c r="AK39" s="210" t="s">
        <v>33</v>
      </c>
      <c r="AL39" s="210" t="s">
        <v>33</v>
      </c>
      <c r="AM39" s="210" t="s">
        <v>33</v>
      </c>
      <c r="AN39" s="210" t="s">
        <v>33</v>
      </c>
      <c r="AO39" s="210" t="s">
        <v>33</v>
      </c>
      <c r="AP39" s="210" t="s">
        <v>33</v>
      </c>
      <c r="AQ39" s="210" t="s">
        <v>33</v>
      </c>
      <c r="AR39" s="210" t="s">
        <v>33</v>
      </c>
      <c r="AS39" s="210" t="s">
        <v>33</v>
      </c>
      <c r="AT39" s="210" t="s">
        <v>33</v>
      </c>
      <c r="AU39" s="210" t="s">
        <v>33</v>
      </c>
      <c r="AV39" s="210" t="s">
        <v>33</v>
      </c>
      <c r="AW39" s="210" t="s">
        <v>33</v>
      </c>
      <c r="AX39" s="210" t="s">
        <v>33</v>
      </c>
      <c r="AY39" s="210" t="s">
        <v>33</v>
      </c>
      <c r="AZ39" s="210" t="s">
        <v>33</v>
      </c>
      <c r="BA39" s="210" t="s">
        <v>33</v>
      </c>
      <c r="BB39" s="210" t="s">
        <v>33</v>
      </c>
      <c r="BC39" s="210" t="s">
        <v>33</v>
      </c>
      <c r="BD39" s="210" t="s">
        <v>33</v>
      </c>
      <c r="BE39" s="210" t="s">
        <v>33</v>
      </c>
      <c r="BF39" s="210" t="s">
        <v>33</v>
      </c>
      <c r="BG39" s="210" t="s">
        <v>33</v>
      </c>
      <c r="BH39" s="210" t="s">
        <v>33</v>
      </c>
      <c r="BI39" s="210" t="s">
        <v>33</v>
      </c>
      <c r="BJ39" s="210" t="s">
        <v>33</v>
      </c>
      <c r="BK39" s="210" t="s">
        <v>33</v>
      </c>
      <c r="BL39" s="210" t="s">
        <v>33</v>
      </c>
      <c r="BM39" s="210" t="s">
        <v>33</v>
      </c>
      <c r="BN39" s="210" t="s">
        <v>33</v>
      </c>
      <c r="BO39" s="210" t="s">
        <v>33</v>
      </c>
      <c r="BP39" s="210" t="s">
        <v>33</v>
      </c>
      <c r="BQ39" s="210" t="s">
        <v>33</v>
      </c>
      <c r="BR39" s="210" t="s">
        <v>33</v>
      </c>
      <c r="BS39" s="210" t="s">
        <v>33</v>
      </c>
      <c r="BT39" s="210" t="s">
        <v>33</v>
      </c>
      <c r="BU39" s="210" t="s">
        <v>33</v>
      </c>
      <c r="BV39" s="210" t="s">
        <v>33</v>
      </c>
      <c r="BW39" s="210" t="s">
        <v>33</v>
      </c>
      <c r="BX39" s="210" t="s">
        <v>33</v>
      </c>
      <c r="BY39" s="210" t="s">
        <v>33</v>
      </c>
      <c r="BZ39" s="210" t="s">
        <v>33</v>
      </c>
      <c r="CA39" s="210" t="s">
        <v>33</v>
      </c>
      <c r="CB39" s="210" t="s">
        <v>33</v>
      </c>
      <c r="CC39" s="210" t="s">
        <v>33</v>
      </c>
      <c r="CD39" s="210" t="s">
        <v>33</v>
      </c>
      <c r="CE39" s="210" t="s">
        <v>33</v>
      </c>
      <c r="CF39" s="210" t="s">
        <v>33</v>
      </c>
      <c r="CG39" s="504">
        <f>D39</f>
        <v>5.0126545433529532</v>
      </c>
      <c r="CH39" s="210" t="s">
        <v>33</v>
      </c>
      <c r="CI39" s="210" t="s">
        <v>33</v>
      </c>
      <c r="CJ39" s="210" t="s">
        <v>33</v>
      </c>
      <c r="CK39" s="210" t="s">
        <v>33</v>
      </c>
      <c r="CL39" s="210">
        <v>213</v>
      </c>
      <c r="CM39" s="210" t="s">
        <v>33</v>
      </c>
      <c r="CN39" s="210" t="s">
        <v>33</v>
      </c>
      <c r="CO39" s="504">
        <f>E39</f>
        <v>5.0126545433529532</v>
      </c>
      <c r="CP39" s="210" t="s">
        <v>33</v>
      </c>
      <c r="CQ39" s="210" t="s">
        <v>33</v>
      </c>
      <c r="CR39" s="210" t="s">
        <v>33</v>
      </c>
      <c r="CS39" s="210" t="s">
        <v>33</v>
      </c>
      <c r="CT39" s="210">
        <v>213</v>
      </c>
      <c r="CU39" s="210" t="s">
        <v>33</v>
      </c>
      <c r="CV39" s="210" t="s">
        <v>33</v>
      </c>
      <c r="CW39" s="410">
        <f t="shared" si="75"/>
        <v>5.0126545433529532</v>
      </c>
      <c r="CX39" s="210" t="s">
        <v>33</v>
      </c>
      <c r="CY39" s="210" t="s">
        <v>33</v>
      </c>
      <c r="CZ39" s="210" t="s">
        <v>33</v>
      </c>
      <c r="DA39" s="210" t="s">
        <v>33</v>
      </c>
      <c r="DB39" s="210">
        <f>CL39</f>
        <v>213</v>
      </c>
      <c r="DC39" s="210" t="s">
        <v>33</v>
      </c>
      <c r="DD39" s="210" t="s">
        <v>33</v>
      </c>
      <c r="DE39" s="504">
        <f t="shared" si="76"/>
        <v>5.0126545433529532</v>
      </c>
      <c r="DF39" s="210" t="s">
        <v>33</v>
      </c>
      <c r="DG39" s="210" t="s">
        <v>33</v>
      </c>
      <c r="DH39" s="210" t="s">
        <v>33</v>
      </c>
      <c r="DI39" s="210" t="s">
        <v>33</v>
      </c>
      <c r="DJ39" s="210">
        <f>CT39</f>
        <v>213</v>
      </c>
      <c r="DK39" s="210" t="s">
        <v>33</v>
      </c>
      <c r="DL39" s="210" t="s">
        <v>33</v>
      </c>
    </row>
    <row r="40" spans="1:116" s="497" customFormat="1" x14ac:dyDescent="0.25">
      <c r="A40" s="18" t="s">
        <v>466</v>
      </c>
      <c r="B40" s="168" t="s">
        <v>467</v>
      </c>
      <c r="C40" s="496"/>
      <c r="D40" s="435">
        <f>SUM(D41:D43)</f>
        <v>11.226335791234609</v>
      </c>
      <c r="E40" s="435">
        <f>SUM(E41:E43)</f>
        <v>14.284287900652526</v>
      </c>
      <c r="F40" s="168">
        <f t="shared" ref="F40:BI40" si="77">SUM(F41:F43)</f>
        <v>0</v>
      </c>
      <c r="G40" s="168">
        <f t="shared" si="77"/>
        <v>0</v>
      </c>
      <c r="H40" s="168">
        <f t="shared" si="77"/>
        <v>0</v>
      </c>
      <c r="I40" s="168">
        <f t="shared" si="77"/>
        <v>0</v>
      </c>
      <c r="J40" s="168">
        <f t="shared" si="77"/>
        <v>0</v>
      </c>
      <c r="K40" s="168">
        <f t="shared" si="77"/>
        <v>0</v>
      </c>
      <c r="L40" s="168">
        <f t="shared" si="77"/>
        <v>0</v>
      </c>
      <c r="M40" s="168">
        <f t="shared" si="77"/>
        <v>0</v>
      </c>
      <c r="N40" s="168">
        <f t="shared" si="77"/>
        <v>0</v>
      </c>
      <c r="O40" s="168">
        <f t="shared" si="77"/>
        <v>0</v>
      </c>
      <c r="P40" s="168">
        <f t="shared" si="77"/>
        <v>0</v>
      </c>
      <c r="Q40" s="168">
        <f t="shared" si="77"/>
        <v>0</v>
      </c>
      <c r="R40" s="168">
        <f t="shared" si="77"/>
        <v>0</v>
      </c>
      <c r="S40" s="168">
        <f t="shared" si="77"/>
        <v>0</v>
      </c>
      <c r="T40" s="435" t="str">
        <f>T41</f>
        <v>нд</v>
      </c>
      <c r="U40" s="168" t="str">
        <f t="shared" ref="U40:AZ40" si="78">U41</f>
        <v>нд</v>
      </c>
      <c r="V40" s="168" t="str">
        <f t="shared" si="78"/>
        <v>нд</v>
      </c>
      <c r="W40" s="168" t="str">
        <f t="shared" si="78"/>
        <v>нд</v>
      </c>
      <c r="X40" s="168" t="str">
        <f t="shared" si="78"/>
        <v>нд</v>
      </c>
      <c r="Y40" s="168" t="str">
        <f t="shared" si="78"/>
        <v>нд</v>
      </c>
      <c r="Z40" s="168" t="str">
        <f t="shared" si="78"/>
        <v>нд</v>
      </c>
      <c r="AA40" s="168" t="str">
        <f t="shared" si="78"/>
        <v>нд</v>
      </c>
      <c r="AB40" s="168" t="str">
        <f t="shared" si="78"/>
        <v>нд</v>
      </c>
      <c r="AC40" s="168" t="str">
        <f t="shared" si="78"/>
        <v>нд</v>
      </c>
      <c r="AD40" s="168" t="str">
        <f t="shared" si="78"/>
        <v>нд</v>
      </c>
      <c r="AE40" s="168" t="str">
        <f t="shared" si="78"/>
        <v>нд</v>
      </c>
      <c r="AF40" s="168" t="str">
        <f t="shared" si="78"/>
        <v>нд</v>
      </c>
      <c r="AG40" s="168" t="str">
        <f t="shared" si="78"/>
        <v>нд</v>
      </c>
      <c r="AH40" s="168" t="str">
        <f t="shared" si="78"/>
        <v>нд</v>
      </c>
      <c r="AI40" s="168" t="str">
        <f t="shared" si="78"/>
        <v>нд</v>
      </c>
      <c r="AJ40" s="168" t="str">
        <f t="shared" si="78"/>
        <v>нд</v>
      </c>
      <c r="AK40" s="168" t="str">
        <f t="shared" si="78"/>
        <v>нд</v>
      </c>
      <c r="AL40" s="168" t="str">
        <f t="shared" si="78"/>
        <v>нд</v>
      </c>
      <c r="AM40" s="168" t="str">
        <f t="shared" si="78"/>
        <v>нд</v>
      </c>
      <c r="AN40" s="168" t="str">
        <f t="shared" si="78"/>
        <v>нд</v>
      </c>
      <c r="AO40" s="168" t="str">
        <f t="shared" si="78"/>
        <v>нд</v>
      </c>
      <c r="AP40" s="168" t="str">
        <f t="shared" si="78"/>
        <v>нд</v>
      </c>
      <c r="AQ40" s="168" t="str">
        <f t="shared" si="78"/>
        <v>нд</v>
      </c>
      <c r="AR40" s="168" t="str">
        <f t="shared" si="78"/>
        <v>нд</v>
      </c>
      <c r="AS40" s="168" t="str">
        <f t="shared" si="78"/>
        <v>нд</v>
      </c>
      <c r="AT40" s="168" t="str">
        <f t="shared" si="78"/>
        <v>нд</v>
      </c>
      <c r="AU40" s="168" t="str">
        <f t="shared" si="78"/>
        <v>нд</v>
      </c>
      <c r="AV40" s="168" t="str">
        <f t="shared" si="78"/>
        <v>нд</v>
      </c>
      <c r="AW40" s="168" t="str">
        <f t="shared" si="78"/>
        <v>нд</v>
      </c>
      <c r="AX40" s="168" t="str">
        <f t="shared" si="78"/>
        <v>нд</v>
      </c>
      <c r="AY40" s="168" t="str">
        <f t="shared" si="78"/>
        <v>нд</v>
      </c>
      <c r="AZ40" s="168" t="str">
        <f t="shared" si="78"/>
        <v>нд</v>
      </c>
      <c r="BA40" s="435">
        <f t="shared" si="77"/>
        <v>6.215986690582084</v>
      </c>
      <c r="BB40" s="168" t="str">
        <f>BB41</f>
        <v>нд</v>
      </c>
      <c r="BC40" s="168" t="str">
        <f t="shared" ref="BC40:BF40" si="79">BC41</f>
        <v>нд</v>
      </c>
      <c r="BD40" s="168" t="str">
        <f t="shared" si="79"/>
        <v>нд</v>
      </c>
      <c r="BE40" s="168" t="str">
        <f t="shared" si="79"/>
        <v>нд</v>
      </c>
      <c r="BF40" s="168" t="str">
        <f t="shared" si="79"/>
        <v>нд</v>
      </c>
      <c r="BG40" s="168">
        <f t="shared" si="77"/>
        <v>1</v>
      </c>
      <c r="BH40" s="168" t="str">
        <f>BH41</f>
        <v>нд</v>
      </c>
      <c r="BI40" s="435">
        <f t="shared" si="77"/>
        <v>9.2739387999999998</v>
      </c>
      <c r="BJ40" s="168" t="str">
        <f t="shared" ref="BJ40:BP40" si="80">BJ41</f>
        <v>нд</v>
      </c>
      <c r="BK40" s="168" t="str">
        <f t="shared" si="80"/>
        <v>нд</v>
      </c>
      <c r="BL40" s="168" t="str">
        <f t="shared" si="80"/>
        <v>нд</v>
      </c>
      <c r="BM40" s="168" t="str">
        <f t="shared" si="80"/>
        <v>нд</v>
      </c>
      <c r="BN40" s="168" t="str">
        <f t="shared" si="80"/>
        <v>нд</v>
      </c>
      <c r="BO40" s="484">
        <f t="shared" ref="BO40" si="81">SUM(BO41:BO43)</f>
        <v>2</v>
      </c>
      <c r="BP40" s="168" t="str">
        <f t="shared" si="80"/>
        <v>нд</v>
      </c>
      <c r="BQ40" s="435">
        <f t="shared" ref="BQ40:DE40" si="82">SUM(BQ41:BQ43)</f>
        <v>5.0103491006525251</v>
      </c>
      <c r="BR40" s="168" t="str">
        <f>BR41</f>
        <v>нд</v>
      </c>
      <c r="BS40" s="168" t="str">
        <f t="shared" ref="BS40:BX40" si="83">BS41</f>
        <v>нд</v>
      </c>
      <c r="BT40" s="168" t="str">
        <f t="shared" si="83"/>
        <v>нд</v>
      </c>
      <c r="BU40" s="168" t="str">
        <f t="shared" si="83"/>
        <v>нд</v>
      </c>
      <c r="BV40" s="168" t="str">
        <f t="shared" si="83"/>
        <v>нд</v>
      </c>
      <c r="BW40" s="168">
        <f t="shared" si="82"/>
        <v>1</v>
      </c>
      <c r="BX40" s="168" t="str">
        <f t="shared" si="83"/>
        <v>нд</v>
      </c>
      <c r="BY40" s="435">
        <f t="shared" si="82"/>
        <v>5.0103491006525251</v>
      </c>
      <c r="BZ40" s="168" t="str">
        <f>BZ41</f>
        <v>нд</v>
      </c>
      <c r="CA40" s="168" t="str">
        <f t="shared" ref="CA40:CD40" si="84">CA41</f>
        <v>нд</v>
      </c>
      <c r="CB40" s="168" t="str">
        <f t="shared" si="84"/>
        <v>нд</v>
      </c>
      <c r="CC40" s="168" t="str">
        <f t="shared" si="84"/>
        <v>нд</v>
      </c>
      <c r="CD40" s="168" t="str">
        <f t="shared" si="84"/>
        <v>нд</v>
      </c>
      <c r="CE40" s="168">
        <f t="shared" si="82"/>
        <v>1</v>
      </c>
      <c r="CF40" s="168" t="str">
        <f t="shared" ref="CF40" si="85">CF41</f>
        <v>нд</v>
      </c>
      <c r="CG40" s="168" t="str">
        <f t="shared" ref="CG40" si="86">CG41</f>
        <v>нд</v>
      </c>
      <c r="CH40" s="168" t="str">
        <f t="shared" ref="CH40" si="87">CH41</f>
        <v>нд</v>
      </c>
      <c r="CI40" s="168" t="str">
        <f t="shared" ref="CI40" si="88">CI41</f>
        <v>нд</v>
      </c>
      <c r="CJ40" s="168" t="str">
        <f t="shared" ref="CJ40" si="89">CJ41</f>
        <v>нд</v>
      </c>
      <c r="CK40" s="168" t="str">
        <f t="shared" ref="CK40" si="90">CK41</f>
        <v>нд</v>
      </c>
      <c r="CL40" s="168" t="str">
        <f t="shared" ref="CL40" si="91">CL41</f>
        <v>нд</v>
      </c>
      <c r="CM40" s="168" t="str">
        <f t="shared" ref="CM40" si="92">CM41</f>
        <v>нд</v>
      </c>
      <c r="CN40" s="168" t="str">
        <f t="shared" ref="CN40" si="93">CN41</f>
        <v>нд</v>
      </c>
      <c r="CO40" s="168" t="str">
        <f t="shared" ref="CO40" si="94">CO41</f>
        <v>нд</v>
      </c>
      <c r="CP40" s="168" t="str">
        <f t="shared" ref="CP40" si="95">CP41</f>
        <v>нд</v>
      </c>
      <c r="CQ40" s="168" t="str">
        <f t="shared" ref="CQ40" si="96">CQ41</f>
        <v>нд</v>
      </c>
      <c r="CR40" s="168" t="str">
        <f t="shared" ref="CR40" si="97">CR41</f>
        <v>нд</v>
      </c>
      <c r="CS40" s="168" t="str">
        <f t="shared" ref="CS40" si="98">CS41</f>
        <v>нд</v>
      </c>
      <c r="CT40" s="168" t="str">
        <f t="shared" ref="CT40" si="99">CT41</f>
        <v>нд</v>
      </c>
      <c r="CU40" s="168" t="str">
        <f t="shared" ref="CU40" si="100">CU41</f>
        <v>нд</v>
      </c>
      <c r="CV40" s="168" t="str">
        <f t="shared" ref="CV40:CX40" si="101">CV41</f>
        <v>нд</v>
      </c>
      <c r="CW40" s="435">
        <f t="shared" si="82"/>
        <v>11.226335791234609</v>
      </c>
      <c r="CX40" s="168" t="str">
        <f t="shared" si="101"/>
        <v>нд</v>
      </c>
      <c r="CY40" s="168" t="str">
        <f t="shared" ref="CY40" si="102">CY41</f>
        <v>нд</v>
      </c>
      <c r="CZ40" s="168" t="str">
        <f t="shared" ref="CZ40" si="103">CZ41</f>
        <v>нд</v>
      </c>
      <c r="DA40" s="168" t="str">
        <f t="shared" ref="DA40" si="104">DA41</f>
        <v>нд</v>
      </c>
      <c r="DB40" s="168" t="str">
        <f t="shared" ref="DB40" si="105">DB41</f>
        <v>нд</v>
      </c>
      <c r="DC40" s="168">
        <f t="shared" si="82"/>
        <v>2</v>
      </c>
      <c r="DD40" s="168" t="str">
        <f t="shared" ref="DD40" si="106">DD41</f>
        <v>нд</v>
      </c>
      <c r="DE40" s="435">
        <f t="shared" si="82"/>
        <v>14.284287900652526</v>
      </c>
      <c r="DF40" s="168" t="str">
        <f t="shared" ref="DF40" si="107">DF41</f>
        <v>нд</v>
      </c>
      <c r="DG40" s="168" t="str">
        <f t="shared" ref="DG40" si="108">DG41</f>
        <v>нд</v>
      </c>
      <c r="DH40" s="168" t="str">
        <f t="shared" ref="DH40" si="109">DH41</f>
        <v>нд</v>
      </c>
      <c r="DI40" s="168" t="str">
        <f t="shared" ref="DI40" si="110">DI41</f>
        <v>нд</v>
      </c>
      <c r="DJ40" s="168" t="str">
        <f t="shared" ref="DJ40" si="111">DJ41</f>
        <v>нд</v>
      </c>
      <c r="DK40" s="484">
        <f t="shared" ref="DK40" si="112">SUM(DK41:DK43)</f>
        <v>3</v>
      </c>
      <c r="DL40" s="168" t="str">
        <f t="shared" ref="DL40" si="113">DL41</f>
        <v>нд</v>
      </c>
    </row>
    <row r="41" spans="1:116" s="498" customFormat="1" x14ac:dyDescent="0.25">
      <c r="A41" s="187" t="s">
        <v>468</v>
      </c>
      <c r="B41" s="399" t="s">
        <v>623</v>
      </c>
      <c r="C41" s="410" t="s">
        <v>1352</v>
      </c>
      <c r="D41" s="410">
        <f>Ф3!K39</f>
        <v>6.215986690582084</v>
      </c>
      <c r="E41" s="410">
        <f>Ф3!P39</f>
        <v>5.8841887999999996</v>
      </c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410" t="s">
        <v>33</v>
      </c>
      <c r="U41" s="399" t="s">
        <v>33</v>
      </c>
      <c r="V41" s="399" t="s">
        <v>33</v>
      </c>
      <c r="W41" s="399" t="s">
        <v>33</v>
      </c>
      <c r="X41" s="399" t="s">
        <v>33</v>
      </c>
      <c r="Y41" s="399" t="s">
        <v>33</v>
      </c>
      <c r="Z41" s="399" t="s">
        <v>33</v>
      </c>
      <c r="AA41" s="399" t="s">
        <v>33</v>
      </c>
      <c r="AB41" s="399" t="s">
        <v>33</v>
      </c>
      <c r="AC41" s="399" t="s">
        <v>33</v>
      </c>
      <c r="AD41" s="399" t="s">
        <v>33</v>
      </c>
      <c r="AE41" s="399" t="s">
        <v>33</v>
      </c>
      <c r="AF41" s="399" t="s">
        <v>33</v>
      </c>
      <c r="AG41" s="399" t="s">
        <v>33</v>
      </c>
      <c r="AH41" s="399" t="s">
        <v>33</v>
      </c>
      <c r="AI41" s="399" t="s">
        <v>33</v>
      </c>
      <c r="AJ41" s="399" t="s">
        <v>33</v>
      </c>
      <c r="AK41" s="399" t="s">
        <v>33</v>
      </c>
      <c r="AL41" s="399" t="s">
        <v>33</v>
      </c>
      <c r="AM41" s="399" t="s">
        <v>33</v>
      </c>
      <c r="AN41" s="399" t="s">
        <v>33</v>
      </c>
      <c r="AO41" s="399" t="s">
        <v>33</v>
      </c>
      <c r="AP41" s="399" t="s">
        <v>33</v>
      </c>
      <c r="AQ41" s="399" t="s">
        <v>33</v>
      </c>
      <c r="AR41" s="399" t="s">
        <v>33</v>
      </c>
      <c r="AS41" s="399" t="s">
        <v>33</v>
      </c>
      <c r="AT41" s="399" t="s">
        <v>33</v>
      </c>
      <c r="AU41" s="399" t="s">
        <v>33</v>
      </c>
      <c r="AV41" s="399" t="s">
        <v>33</v>
      </c>
      <c r="AW41" s="399" t="s">
        <v>33</v>
      </c>
      <c r="AX41" s="399" t="s">
        <v>33</v>
      </c>
      <c r="AY41" s="399" t="s">
        <v>33</v>
      </c>
      <c r="AZ41" s="399" t="s">
        <v>33</v>
      </c>
      <c r="BA41" s="410">
        <f>D41</f>
        <v>6.215986690582084</v>
      </c>
      <c r="BB41" s="399" t="s">
        <v>33</v>
      </c>
      <c r="BC41" s="399" t="s">
        <v>33</v>
      </c>
      <c r="BD41" s="399" t="s">
        <v>33</v>
      </c>
      <c r="BE41" s="399" t="s">
        <v>33</v>
      </c>
      <c r="BF41" s="399" t="s">
        <v>33</v>
      </c>
      <c r="BG41" s="399">
        <v>1</v>
      </c>
      <c r="BH41" s="399" t="s">
        <v>33</v>
      </c>
      <c r="BI41" s="506">
        <f>E41</f>
        <v>5.8841887999999996</v>
      </c>
      <c r="BJ41" s="399" t="s">
        <v>33</v>
      </c>
      <c r="BK41" s="399" t="s">
        <v>33</v>
      </c>
      <c r="BL41" s="399" t="s">
        <v>33</v>
      </c>
      <c r="BM41" s="399" t="s">
        <v>33</v>
      </c>
      <c r="BN41" s="399" t="s">
        <v>33</v>
      </c>
      <c r="BO41" s="505">
        <v>1</v>
      </c>
      <c r="BP41" s="399" t="s">
        <v>33</v>
      </c>
      <c r="BQ41" s="399" t="s">
        <v>33</v>
      </c>
      <c r="BR41" s="399" t="s">
        <v>33</v>
      </c>
      <c r="BS41" s="399" t="s">
        <v>33</v>
      </c>
      <c r="BT41" s="399" t="s">
        <v>33</v>
      </c>
      <c r="BU41" s="399" t="s">
        <v>33</v>
      </c>
      <c r="BV41" s="399" t="s">
        <v>33</v>
      </c>
      <c r="BW41" s="399" t="s">
        <v>33</v>
      </c>
      <c r="BX41" s="399" t="s">
        <v>33</v>
      </c>
      <c r="BY41" s="399" t="s">
        <v>33</v>
      </c>
      <c r="BZ41" s="399" t="s">
        <v>33</v>
      </c>
      <c r="CA41" s="399" t="s">
        <v>33</v>
      </c>
      <c r="CB41" s="399" t="s">
        <v>33</v>
      </c>
      <c r="CC41" s="399" t="s">
        <v>33</v>
      </c>
      <c r="CD41" s="399" t="s">
        <v>33</v>
      </c>
      <c r="CE41" s="399" t="s">
        <v>33</v>
      </c>
      <c r="CF41" s="399" t="s">
        <v>33</v>
      </c>
      <c r="CG41" s="399" t="s">
        <v>33</v>
      </c>
      <c r="CH41" s="399" t="s">
        <v>33</v>
      </c>
      <c r="CI41" s="399" t="s">
        <v>33</v>
      </c>
      <c r="CJ41" s="399" t="s">
        <v>33</v>
      </c>
      <c r="CK41" s="399" t="s">
        <v>33</v>
      </c>
      <c r="CL41" s="399" t="s">
        <v>33</v>
      </c>
      <c r="CM41" s="399" t="s">
        <v>33</v>
      </c>
      <c r="CN41" s="399" t="s">
        <v>33</v>
      </c>
      <c r="CO41" s="399" t="s">
        <v>33</v>
      </c>
      <c r="CP41" s="399" t="s">
        <v>33</v>
      </c>
      <c r="CQ41" s="399" t="s">
        <v>33</v>
      </c>
      <c r="CR41" s="399" t="s">
        <v>33</v>
      </c>
      <c r="CS41" s="399" t="s">
        <v>33</v>
      </c>
      <c r="CT41" s="399" t="s">
        <v>33</v>
      </c>
      <c r="CU41" s="399" t="s">
        <v>33</v>
      </c>
      <c r="CV41" s="399" t="s">
        <v>33</v>
      </c>
      <c r="CW41" s="410">
        <f>D41</f>
        <v>6.215986690582084</v>
      </c>
      <c r="CX41" s="399" t="s">
        <v>33</v>
      </c>
      <c r="CY41" s="399" t="s">
        <v>33</v>
      </c>
      <c r="CZ41" s="399" t="s">
        <v>33</v>
      </c>
      <c r="DA41" s="399" t="s">
        <v>33</v>
      </c>
      <c r="DB41" s="399" t="s">
        <v>33</v>
      </c>
      <c r="DC41" s="399">
        <f>BG41</f>
        <v>1</v>
      </c>
      <c r="DD41" s="399" t="s">
        <v>33</v>
      </c>
      <c r="DE41" s="506">
        <f>E41</f>
        <v>5.8841887999999996</v>
      </c>
      <c r="DF41" s="399" t="s">
        <v>33</v>
      </c>
      <c r="DG41" s="399" t="s">
        <v>33</v>
      </c>
      <c r="DH41" s="399" t="s">
        <v>33</v>
      </c>
      <c r="DI41" s="399" t="s">
        <v>33</v>
      </c>
      <c r="DJ41" s="399" t="s">
        <v>33</v>
      </c>
      <c r="DK41" s="507">
        <f>BO41</f>
        <v>1</v>
      </c>
      <c r="DL41" s="399" t="s">
        <v>33</v>
      </c>
    </row>
    <row r="42" spans="1:116" s="498" customFormat="1" x14ac:dyDescent="0.25">
      <c r="A42" s="187" t="s">
        <v>622</v>
      </c>
      <c r="B42" s="237" t="s">
        <v>1337</v>
      </c>
      <c r="C42" s="410" t="s">
        <v>1353</v>
      </c>
      <c r="D42" s="410" t="str">
        <f>Ф3!K40</f>
        <v>нд</v>
      </c>
      <c r="E42" s="410">
        <f>Ф3!P40</f>
        <v>3.3897499999999998</v>
      </c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410" t="s">
        <v>33</v>
      </c>
      <c r="U42" s="399" t="s">
        <v>33</v>
      </c>
      <c r="V42" s="399" t="s">
        <v>33</v>
      </c>
      <c r="W42" s="399" t="s">
        <v>33</v>
      </c>
      <c r="X42" s="399" t="s">
        <v>33</v>
      </c>
      <c r="Y42" s="399" t="s">
        <v>33</v>
      </c>
      <c r="Z42" s="399" t="s">
        <v>33</v>
      </c>
      <c r="AA42" s="399" t="s">
        <v>33</v>
      </c>
      <c r="AB42" s="399" t="s">
        <v>33</v>
      </c>
      <c r="AC42" s="399" t="s">
        <v>33</v>
      </c>
      <c r="AD42" s="399" t="s">
        <v>33</v>
      </c>
      <c r="AE42" s="399" t="s">
        <v>33</v>
      </c>
      <c r="AF42" s="399" t="s">
        <v>33</v>
      </c>
      <c r="AG42" s="399" t="s">
        <v>33</v>
      </c>
      <c r="AH42" s="399" t="s">
        <v>33</v>
      </c>
      <c r="AI42" s="399" t="s">
        <v>33</v>
      </c>
      <c r="AJ42" s="399" t="s">
        <v>33</v>
      </c>
      <c r="AK42" s="399" t="s">
        <v>33</v>
      </c>
      <c r="AL42" s="399" t="s">
        <v>33</v>
      </c>
      <c r="AM42" s="399" t="s">
        <v>33</v>
      </c>
      <c r="AN42" s="399" t="s">
        <v>33</v>
      </c>
      <c r="AO42" s="399" t="s">
        <v>33</v>
      </c>
      <c r="AP42" s="399" t="s">
        <v>33</v>
      </c>
      <c r="AQ42" s="399" t="s">
        <v>33</v>
      </c>
      <c r="AR42" s="399" t="s">
        <v>33</v>
      </c>
      <c r="AS42" s="399" t="s">
        <v>33</v>
      </c>
      <c r="AT42" s="399" t="s">
        <v>33</v>
      </c>
      <c r="AU42" s="399" t="s">
        <v>33</v>
      </c>
      <c r="AV42" s="399" t="s">
        <v>33</v>
      </c>
      <c r="AW42" s="399" t="s">
        <v>33</v>
      </c>
      <c r="AX42" s="399" t="s">
        <v>33</v>
      </c>
      <c r="AY42" s="399" t="s">
        <v>33</v>
      </c>
      <c r="AZ42" s="399" t="s">
        <v>33</v>
      </c>
      <c r="BA42" s="399" t="s">
        <v>33</v>
      </c>
      <c r="BB42" s="399" t="s">
        <v>33</v>
      </c>
      <c r="BC42" s="399" t="s">
        <v>33</v>
      </c>
      <c r="BD42" s="399" t="s">
        <v>33</v>
      </c>
      <c r="BE42" s="399" t="s">
        <v>33</v>
      </c>
      <c r="BF42" s="399" t="s">
        <v>33</v>
      </c>
      <c r="BG42" s="399" t="s">
        <v>33</v>
      </c>
      <c r="BH42" s="399" t="s">
        <v>33</v>
      </c>
      <c r="BI42" s="506">
        <f>E42</f>
        <v>3.3897499999999998</v>
      </c>
      <c r="BJ42" s="399" t="s">
        <v>33</v>
      </c>
      <c r="BK42" s="399" t="s">
        <v>33</v>
      </c>
      <c r="BL42" s="399" t="s">
        <v>33</v>
      </c>
      <c r="BM42" s="399" t="s">
        <v>33</v>
      </c>
      <c r="BN42" s="399" t="s">
        <v>33</v>
      </c>
      <c r="BO42" s="505">
        <v>1</v>
      </c>
      <c r="BP42" s="399" t="s">
        <v>33</v>
      </c>
      <c r="BQ42" s="399" t="s">
        <v>33</v>
      </c>
      <c r="BR42" s="399" t="s">
        <v>33</v>
      </c>
      <c r="BS42" s="399" t="s">
        <v>33</v>
      </c>
      <c r="BT42" s="399" t="s">
        <v>33</v>
      </c>
      <c r="BU42" s="399" t="s">
        <v>33</v>
      </c>
      <c r="BV42" s="399" t="s">
        <v>33</v>
      </c>
      <c r="BW42" s="399" t="s">
        <v>33</v>
      </c>
      <c r="BX42" s="399" t="s">
        <v>33</v>
      </c>
      <c r="BY42" s="399" t="s">
        <v>33</v>
      </c>
      <c r="BZ42" s="399" t="s">
        <v>33</v>
      </c>
      <c r="CA42" s="399" t="s">
        <v>33</v>
      </c>
      <c r="CB42" s="399" t="s">
        <v>33</v>
      </c>
      <c r="CC42" s="399" t="s">
        <v>33</v>
      </c>
      <c r="CD42" s="399" t="s">
        <v>33</v>
      </c>
      <c r="CE42" s="399" t="s">
        <v>33</v>
      </c>
      <c r="CF42" s="399" t="s">
        <v>33</v>
      </c>
      <c r="CG42" s="410" t="s">
        <v>33</v>
      </c>
      <c r="CH42" s="410" t="s">
        <v>33</v>
      </c>
      <c r="CI42" s="410" t="s">
        <v>33</v>
      </c>
      <c r="CJ42" s="410" t="s">
        <v>33</v>
      </c>
      <c r="CK42" s="399" t="s">
        <v>33</v>
      </c>
      <c r="CL42" s="399" t="s">
        <v>33</v>
      </c>
      <c r="CM42" s="399" t="s">
        <v>33</v>
      </c>
      <c r="CN42" s="399" t="s">
        <v>33</v>
      </c>
      <c r="CO42" s="399" t="s">
        <v>33</v>
      </c>
      <c r="CP42" s="399" t="s">
        <v>33</v>
      </c>
      <c r="CQ42" s="399" t="s">
        <v>33</v>
      </c>
      <c r="CR42" s="399" t="s">
        <v>33</v>
      </c>
      <c r="CS42" s="399" t="s">
        <v>33</v>
      </c>
      <c r="CT42" s="399" t="s">
        <v>33</v>
      </c>
      <c r="CU42" s="399" t="s">
        <v>33</v>
      </c>
      <c r="CV42" s="399" t="s">
        <v>33</v>
      </c>
      <c r="CW42" s="399" t="s">
        <v>33</v>
      </c>
      <c r="CX42" s="399" t="s">
        <v>33</v>
      </c>
      <c r="CY42" s="399" t="s">
        <v>33</v>
      </c>
      <c r="CZ42" s="399" t="s">
        <v>33</v>
      </c>
      <c r="DA42" s="399" t="s">
        <v>33</v>
      </c>
      <c r="DB42" s="399" t="s">
        <v>33</v>
      </c>
      <c r="DC42" s="399" t="s">
        <v>33</v>
      </c>
      <c r="DD42" s="399" t="s">
        <v>33</v>
      </c>
      <c r="DE42" s="506">
        <f t="shared" ref="DE42:DE43" si="114">E42</f>
        <v>3.3897499999999998</v>
      </c>
      <c r="DF42" s="399" t="s">
        <v>33</v>
      </c>
      <c r="DG42" s="399" t="s">
        <v>33</v>
      </c>
      <c r="DH42" s="399" t="s">
        <v>33</v>
      </c>
      <c r="DI42" s="399" t="s">
        <v>33</v>
      </c>
      <c r="DJ42" s="399" t="s">
        <v>33</v>
      </c>
      <c r="DK42" s="507">
        <f>BO42</f>
        <v>1</v>
      </c>
      <c r="DL42" s="399" t="s">
        <v>33</v>
      </c>
    </row>
    <row r="43" spans="1:116" s="498" customFormat="1" x14ac:dyDescent="0.25">
      <c r="A43" s="187" t="s">
        <v>1335</v>
      </c>
      <c r="B43" s="399" t="s">
        <v>624</v>
      </c>
      <c r="C43" s="410" t="s">
        <v>646</v>
      </c>
      <c r="D43" s="410">
        <f>Ф3!K41</f>
        <v>5.0103491006525251</v>
      </c>
      <c r="E43" s="410">
        <f>Ф3!P41</f>
        <v>5.0103491006525251</v>
      </c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410" t="s">
        <v>33</v>
      </c>
      <c r="U43" s="399" t="s">
        <v>33</v>
      </c>
      <c r="V43" s="399" t="s">
        <v>33</v>
      </c>
      <c r="W43" s="399" t="s">
        <v>33</v>
      </c>
      <c r="X43" s="399" t="s">
        <v>33</v>
      </c>
      <c r="Y43" s="399" t="s">
        <v>33</v>
      </c>
      <c r="Z43" s="399" t="s">
        <v>33</v>
      </c>
      <c r="AA43" s="399" t="s">
        <v>33</v>
      </c>
      <c r="AB43" s="399" t="s">
        <v>33</v>
      </c>
      <c r="AC43" s="399" t="s">
        <v>33</v>
      </c>
      <c r="AD43" s="399" t="s">
        <v>33</v>
      </c>
      <c r="AE43" s="399" t="s">
        <v>33</v>
      </c>
      <c r="AF43" s="399" t="s">
        <v>33</v>
      </c>
      <c r="AG43" s="399" t="s">
        <v>33</v>
      </c>
      <c r="AH43" s="399" t="s">
        <v>33</v>
      </c>
      <c r="AI43" s="399" t="s">
        <v>33</v>
      </c>
      <c r="AJ43" s="399" t="s">
        <v>33</v>
      </c>
      <c r="AK43" s="399" t="s">
        <v>33</v>
      </c>
      <c r="AL43" s="399" t="s">
        <v>33</v>
      </c>
      <c r="AM43" s="399" t="s">
        <v>33</v>
      </c>
      <c r="AN43" s="399" t="s">
        <v>33</v>
      </c>
      <c r="AO43" s="399" t="s">
        <v>33</v>
      </c>
      <c r="AP43" s="399" t="s">
        <v>33</v>
      </c>
      <c r="AQ43" s="399" t="s">
        <v>33</v>
      </c>
      <c r="AR43" s="399" t="s">
        <v>33</v>
      </c>
      <c r="AS43" s="399" t="s">
        <v>33</v>
      </c>
      <c r="AT43" s="399" t="s">
        <v>33</v>
      </c>
      <c r="AU43" s="399" t="s">
        <v>33</v>
      </c>
      <c r="AV43" s="399" t="s">
        <v>33</v>
      </c>
      <c r="AW43" s="399" t="s">
        <v>33</v>
      </c>
      <c r="AX43" s="399" t="s">
        <v>33</v>
      </c>
      <c r="AY43" s="399" t="s">
        <v>33</v>
      </c>
      <c r="AZ43" s="399" t="s">
        <v>33</v>
      </c>
      <c r="BA43" s="399" t="s">
        <v>33</v>
      </c>
      <c r="BB43" s="399" t="s">
        <v>33</v>
      </c>
      <c r="BC43" s="399" t="s">
        <v>33</v>
      </c>
      <c r="BD43" s="399" t="s">
        <v>33</v>
      </c>
      <c r="BE43" s="399" t="s">
        <v>33</v>
      </c>
      <c r="BF43" s="399" t="s">
        <v>33</v>
      </c>
      <c r="BG43" s="399" t="s">
        <v>33</v>
      </c>
      <c r="BH43" s="399" t="s">
        <v>33</v>
      </c>
      <c r="BI43" s="399" t="s">
        <v>33</v>
      </c>
      <c r="BJ43" s="399" t="s">
        <v>33</v>
      </c>
      <c r="BK43" s="399" t="s">
        <v>33</v>
      </c>
      <c r="BL43" s="399" t="s">
        <v>33</v>
      </c>
      <c r="BM43" s="399" t="s">
        <v>33</v>
      </c>
      <c r="BN43" s="399" t="s">
        <v>33</v>
      </c>
      <c r="BO43" s="399" t="s">
        <v>33</v>
      </c>
      <c r="BP43" s="399" t="s">
        <v>33</v>
      </c>
      <c r="BQ43" s="410">
        <f>D43</f>
        <v>5.0103491006525251</v>
      </c>
      <c r="BR43" s="399" t="s">
        <v>33</v>
      </c>
      <c r="BS43" s="399" t="s">
        <v>33</v>
      </c>
      <c r="BT43" s="399" t="s">
        <v>33</v>
      </c>
      <c r="BU43" s="399" t="s">
        <v>33</v>
      </c>
      <c r="BV43" s="399" t="s">
        <v>33</v>
      </c>
      <c r="BW43" s="399">
        <v>1</v>
      </c>
      <c r="BX43" s="399" t="s">
        <v>33</v>
      </c>
      <c r="BY43" s="506">
        <f>E43</f>
        <v>5.0103491006525251</v>
      </c>
      <c r="BZ43" s="399" t="s">
        <v>33</v>
      </c>
      <c r="CA43" s="399" t="s">
        <v>33</v>
      </c>
      <c r="CB43" s="399" t="s">
        <v>33</v>
      </c>
      <c r="CC43" s="399" t="s">
        <v>33</v>
      </c>
      <c r="CD43" s="399" t="s">
        <v>33</v>
      </c>
      <c r="CE43" s="399">
        <v>1</v>
      </c>
      <c r="CF43" s="399" t="s">
        <v>33</v>
      </c>
      <c r="CG43" s="399" t="s">
        <v>33</v>
      </c>
      <c r="CH43" s="399" t="s">
        <v>33</v>
      </c>
      <c r="CI43" s="399" t="s">
        <v>33</v>
      </c>
      <c r="CJ43" s="399" t="s">
        <v>33</v>
      </c>
      <c r="CK43" s="399" t="s">
        <v>33</v>
      </c>
      <c r="CL43" s="399" t="s">
        <v>33</v>
      </c>
      <c r="CM43" s="399" t="s">
        <v>33</v>
      </c>
      <c r="CN43" s="399" t="s">
        <v>33</v>
      </c>
      <c r="CO43" s="399" t="s">
        <v>33</v>
      </c>
      <c r="CP43" s="399" t="s">
        <v>33</v>
      </c>
      <c r="CQ43" s="399" t="s">
        <v>33</v>
      </c>
      <c r="CR43" s="399" t="s">
        <v>33</v>
      </c>
      <c r="CS43" s="399" t="s">
        <v>33</v>
      </c>
      <c r="CT43" s="399" t="s">
        <v>33</v>
      </c>
      <c r="CU43" s="399" t="s">
        <v>33</v>
      </c>
      <c r="CV43" s="399" t="s">
        <v>33</v>
      </c>
      <c r="CW43" s="410">
        <f>D43</f>
        <v>5.0103491006525251</v>
      </c>
      <c r="CX43" s="399" t="s">
        <v>33</v>
      </c>
      <c r="CY43" s="399" t="s">
        <v>33</v>
      </c>
      <c r="CZ43" s="399" t="s">
        <v>33</v>
      </c>
      <c r="DA43" s="399" t="s">
        <v>33</v>
      </c>
      <c r="DB43" s="399" t="s">
        <v>33</v>
      </c>
      <c r="DC43" s="399">
        <f>BW43</f>
        <v>1</v>
      </c>
      <c r="DD43" s="399" t="s">
        <v>33</v>
      </c>
      <c r="DE43" s="506">
        <f t="shared" si="114"/>
        <v>5.0103491006525251</v>
      </c>
      <c r="DF43" s="399" t="s">
        <v>33</v>
      </c>
      <c r="DG43" s="399" t="s">
        <v>33</v>
      </c>
      <c r="DH43" s="399" t="s">
        <v>33</v>
      </c>
      <c r="DI43" s="399" t="s">
        <v>33</v>
      </c>
      <c r="DJ43" s="399" t="s">
        <v>33</v>
      </c>
      <c r="DK43" s="507">
        <f>CE43</f>
        <v>1</v>
      </c>
      <c r="DL43" s="399" t="s">
        <v>33</v>
      </c>
    </row>
    <row r="46" spans="1:116" ht="18.75" x14ac:dyDescent="0.25">
      <c r="B46" s="170" t="s">
        <v>52</v>
      </c>
      <c r="C46" s="171"/>
      <c r="D46" s="171"/>
      <c r="E46" s="171" t="s">
        <v>1325</v>
      </c>
    </row>
    <row r="47" spans="1:116" ht="18.75" x14ac:dyDescent="0.25">
      <c r="B47" s="170"/>
      <c r="C47" s="171"/>
      <c r="D47" s="171"/>
      <c r="E47" s="171"/>
    </row>
    <row r="48" spans="1:116" ht="18.75" x14ac:dyDescent="0.25">
      <c r="B48" s="170"/>
      <c r="C48" s="171"/>
      <c r="D48" s="171"/>
      <c r="E48" s="171"/>
    </row>
    <row r="51" spans="1:35" s="30" customFormat="1" x14ac:dyDescent="0.25">
      <c r="A51" s="633" t="s">
        <v>156</v>
      </c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87"/>
      <c r="R51" s="417"/>
      <c r="S51" s="417"/>
      <c r="T51" s="417"/>
      <c r="U51" s="417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</row>
    <row r="52" spans="1:35" s="30" customFormat="1" x14ac:dyDescent="0.25">
      <c r="A52" s="616" t="s">
        <v>157</v>
      </c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89"/>
      <c r="R52" s="413"/>
      <c r="S52" s="413"/>
      <c r="T52" s="413"/>
      <c r="U52" s="413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</row>
    <row r="53" spans="1:35" s="30" customFormat="1" x14ac:dyDescent="0.25">
      <c r="A53" s="616" t="s">
        <v>158</v>
      </c>
      <c r="B53" s="616"/>
      <c r="C53" s="616"/>
      <c r="D53" s="616"/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89"/>
      <c r="R53" s="413"/>
      <c r="S53" s="413"/>
      <c r="T53" s="413"/>
      <c r="U53" s="413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</row>
    <row r="54" spans="1:35" s="30" customFormat="1" x14ac:dyDescent="0.25">
      <c r="A54" s="616" t="s">
        <v>159</v>
      </c>
      <c r="B54" s="616"/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89"/>
      <c r="R54" s="413"/>
      <c r="S54" s="413"/>
      <c r="T54" s="413"/>
      <c r="U54" s="413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8" spans="1:35" x14ac:dyDescent="0.25">
      <c r="B58" s="502" t="s">
        <v>670</v>
      </c>
      <c r="C58" s="502" t="str">
        <f>IF(D17=Ф3!AM15,"ОК","ОШИБКА")</f>
        <v>ОК</v>
      </c>
    </row>
  </sheetData>
  <mergeCells count="57">
    <mergeCell ref="A10:DI10"/>
    <mergeCell ref="A11:A15"/>
    <mergeCell ref="B11:B15"/>
    <mergeCell ref="C11:C15"/>
    <mergeCell ref="D11:E13"/>
    <mergeCell ref="F11:S12"/>
    <mergeCell ref="T11:DK11"/>
    <mergeCell ref="AR13:AY13"/>
    <mergeCell ref="AZ13:BG13"/>
    <mergeCell ref="T13:AA13"/>
    <mergeCell ref="AB13:AI13"/>
    <mergeCell ref="AJ13:AQ13"/>
    <mergeCell ref="A53:P53"/>
    <mergeCell ref="A54:P54"/>
    <mergeCell ref="A51:P51"/>
    <mergeCell ref="A52:P52"/>
    <mergeCell ref="D14:D15"/>
    <mergeCell ref="DL11:DL15"/>
    <mergeCell ref="T12:AI12"/>
    <mergeCell ref="AJ12:AY12"/>
    <mergeCell ref="AZ12:BO12"/>
    <mergeCell ref="CV12:DK12"/>
    <mergeCell ref="BI14:BO14"/>
    <mergeCell ref="CW14:DC14"/>
    <mergeCell ref="DE14:DK14"/>
    <mergeCell ref="CV13:DC13"/>
    <mergeCell ref="DD13:DK13"/>
    <mergeCell ref="CF12:CU12"/>
    <mergeCell ref="CF13:CM13"/>
    <mergeCell ref="BH13:BO13"/>
    <mergeCell ref="F13:L13"/>
    <mergeCell ref="M13:S13"/>
    <mergeCell ref="CN13:CU13"/>
    <mergeCell ref="CG14:CM14"/>
    <mergeCell ref="CO14:CU14"/>
    <mergeCell ref="BP12:CE12"/>
    <mergeCell ref="BP13:BW13"/>
    <mergeCell ref="BX13:CE13"/>
    <mergeCell ref="BQ14:BW14"/>
    <mergeCell ref="BY14:CE14"/>
    <mergeCell ref="E14:E15"/>
    <mergeCell ref="G14:L14"/>
    <mergeCell ref="N14:S14"/>
    <mergeCell ref="U14:AA14"/>
    <mergeCell ref="BA14:BG14"/>
    <mergeCell ref="AC14:AI14"/>
    <mergeCell ref="AK14:AQ14"/>
    <mergeCell ref="AS14:AY14"/>
    <mergeCell ref="A1:AN1"/>
    <mergeCell ref="A8:AN8"/>
    <mergeCell ref="A9:AN9"/>
    <mergeCell ref="A6:AN6"/>
    <mergeCell ref="A3:AN3"/>
    <mergeCell ref="A4:AN4"/>
    <mergeCell ref="A2:S2"/>
    <mergeCell ref="A5:S5"/>
    <mergeCell ref="A7:S7"/>
  </mergeCells>
  <pageMargins left="0.70866141732283472" right="0.70866141732283472" top="0.74803149606299213" bottom="0.74803149606299213" header="0.31496062992125984" footer="0.31496062992125984"/>
  <pageSetup paperSize="8" scale="64" fitToWidth="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N54"/>
  <sheetViews>
    <sheetView zoomScale="70" zoomScaleNormal="70" workbookViewId="0">
      <selection activeCell="B22" sqref="B22"/>
    </sheetView>
  </sheetViews>
  <sheetFormatPr defaultColWidth="8.85546875" defaultRowHeight="15.75" outlineLevelRow="1" x14ac:dyDescent="0.25"/>
  <cols>
    <col min="1" max="1" width="10" style="14" customWidth="1"/>
    <col min="2" max="2" width="83.42578125" customWidth="1"/>
    <col min="3" max="3" width="10.28515625" customWidth="1"/>
    <col min="4" max="4" width="9.140625" customWidth="1"/>
    <col min="5" max="5" width="7.42578125" style="33" bestFit="1" customWidth="1"/>
    <col min="6" max="6" width="5.42578125" style="33" customWidth="1"/>
    <col min="7" max="9" width="5.42578125" customWidth="1"/>
    <col min="10" max="10" width="5.42578125" style="35" customWidth="1"/>
    <col min="11" max="11" width="9" customWidth="1"/>
    <col min="12" max="12" width="7.42578125" bestFit="1" customWidth="1"/>
    <col min="13" max="13" width="5.42578125" style="35" customWidth="1"/>
    <col min="14" max="17" width="5.42578125" customWidth="1"/>
    <col min="18" max="18" width="9.85546875" customWidth="1"/>
    <col min="19" max="19" width="7.42578125" bestFit="1" customWidth="1"/>
    <col min="20" max="24" width="5.42578125" customWidth="1"/>
    <col min="25" max="26" width="9.28515625" customWidth="1"/>
    <col min="27" max="27" width="8.42578125" customWidth="1"/>
    <col min="28" max="28" width="6.7109375" bestFit="1" customWidth="1"/>
    <col min="29" max="30" width="8.42578125" customWidth="1"/>
    <col min="31" max="31" width="6.7109375" customWidth="1"/>
    <col min="32" max="32" width="6.7109375" bestFit="1" customWidth="1"/>
    <col min="33" max="33" width="9.28515625" customWidth="1"/>
    <col min="34" max="34" width="9.5703125" customWidth="1"/>
    <col min="35" max="39" width="8.28515625" customWidth="1"/>
    <col min="40" max="40" width="6.7109375" bestFit="1" customWidth="1"/>
  </cols>
  <sheetData>
    <row r="1" spans="1:40" s="30" customFormat="1" ht="18.75" x14ac:dyDescent="0.3">
      <c r="A1" s="653" t="s">
        <v>260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653"/>
      <c r="AK1" s="653"/>
      <c r="AL1" s="653"/>
      <c r="AM1" s="653"/>
      <c r="AN1" s="653"/>
    </row>
    <row r="2" spans="1:40" s="30" customFormat="1" ht="18.75" x14ac:dyDescent="0.3">
      <c r="A2" s="604" t="s">
        <v>676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  <c r="AF2" s="604"/>
      <c r="AG2" s="604"/>
      <c r="AH2" s="604"/>
      <c r="AI2" s="604"/>
      <c r="AJ2" s="604"/>
      <c r="AK2" s="604"/>
      <c r="AL2" s="604"/>
      <c r="AM2" s="604"/>
      <c r="AN2" s="604"/>
    </row>
    <row r="3" spans="1:40" s="30" customForma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</row>
    <row r="4" spans="1:40" s="30" customFormat="1" ht="18.75" x14ac:dyDescent="0.25">
      <c r="A4" s="599" t="s">
        <v>75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</row>
    <row r="5" spans="1:40" s="30" customFormat="1" x14ac:dyDescent="0.25">
      <c r="A5" s="605" t="s">
        <v>76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</row>
    <row r="6" spans="1:40" s="30" customFormat="1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</row>
    <row r="7" spans="1:40" s="30" customFormat="1" x14ac:dyDescent="0.25">
      <c r="A7" s="600" t="s">
        <v>1370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</row>
    <row r="8" spans="1:40" s="30" customFormat="1" ht="18.75" x14ac:dyDescent="0.3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</row>
    <row r="9" spans="1:40" s="30" customFormat="1" ht="18.75" x14ac:dyDescent="0.25">
      <c r="A9" s="108"/>
      <c r="B9" s="108"/>
      <c r="C9" s="515" t="s">
        <v>1346</v>
      </c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</row>
    <row r="10" spans="1:40" s="30" customFormat="1" x14ac:dyDescent="0.25">
      <c r="A10" s="648" t="s">
        <v>174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</row>
    <row r="11" spans="1:40" s="30" customFormat="1" x14ac:dyDescent="0.25">
      <c r="A11" s="652"/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</row>
    <row r="12" spans="1:40" s="30" customFormat="1" x14ac:dyDescent="0.25">
      <c r="A12" s="651" t="s">
        <v>3</v>
      </c>
      <c r="B12" s="651" t="s">
        <v>4</v>
      </c>
      <c r="C12" s="651" t="s">
        <v>5</v>
      </c>
      <c r="D12" s="650" t="s">
        <v>261</v>
      </c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</row>
    <row r="13" spans="1:40" s="30" customFormat="1" x14ac:dyDescent="0.25">
      <c r="A13" s="651"/>
      <c r="B13" s="651"/>
      <c r="C13" s="651"/>
      <c r="D13" s="650" t="s">
        <v>262</v>
      </c>
      <c r="E13" s="650"/>
      <c r="F13" s="650"/>
      <c r="G13" s="650"/>
      <c r="H13" s="650"/>
      <c r="I13" s="650"/>
      <c r="J13" s="650"/>
      <c r="K13" s="650" t="s">
        <v>263</v>
      </c>
      <c r="L13" s="650"/>
      <c r="M13" s="650"/>
      <c r="N13" s="650"/>
      <c r="O13" s="650"/>
      <c r="P13" s="650"/>
      <c r="Q13" s="650"/>
      <c r="R13" s="650" t="s">
        <v>264</v>
      </c>
      <c r="S13" s="650"/>
      <c r="T13" s="650"/>
      <c r="U13" s="650"/>
      <c r="V13" s="650"/>
      <c r="W13" s="650"/>
      <c r="X13" s="650"/>
      <c r="Y13" s="650" t="s">
        <v>265</v>
      </c>
      <c r="Z13" s="650"/>
      <c r="AA13" s="650"/>
      <c r="AB13" s="650"/>
      <c r="AC13" s="650"/>
      <c r="AD13" s="650"/>
      <c r="AE13" s="650"/>
      <c r="AF13" s="650"/>
      <c r="AG13" s="651" t="s">
        <v>266</v>
      </c>
      <c r="AH13" s="651"/>
      <c r="AI13" s="651"/>
      <c r="AJ13" s="651"/>
      <c r="AK13" s="651"/>
      <c r="AL13" s="651"/>
      <c r="AM13" s="651"/>
      <c r="AN13" s="651"/>
    </row>
    <row r="14" spans="1:40" s="30" customFormat="1" ht="61.5" customHeight="1" x14ac:dyDescent="0.25">
      <c r="A14" s="651"/>
      <c r="B14" s="651"/>
      <c r="C14" s="651"/>
      <c r="D14" s="218" t="s">
        <v>181</v>
      </c>
      <c r="E14" s="650" t="s">
        <v>182</v>
      </c>
      <c r="F14" s="650"/>
      <c r="G14" s="650"/>
      <c r="H14" s="650"/>
      <c r="I14" s="650"/>
      <c r="J14" s="650"/>
      <c r="K14" s="218" t="s">
        <v>181</v>
      </c>
      <c r="L14" s="651" t="s">
        <v>182</v>
      </c>
      <c r="M14" s="651"/>
      <c r="N14" s="651"/>
      <c r="O14" s="651"/>
      <c r="P14" s="651"/>
      <c r="Q14" s="651"/>
      <c r="R14" s="218" t="s">
        <v>181</v>
      </c>
      <c r="S14" s="651" t="s">
        <v>182</v>
      </c>
      <c r="T14" s="651"/>
      <c r="U14" s="651"/>
      <c r="V14" s="651"/>
      <c r="W14" s="651"/>
      <c r="X14" s="651"/>
      <c r="Y14" s="218" t="s">
        <v>181</v>
      </c>
      <c r="Z14" s="651" t="s">
        <v>182</v>
      </c>
      <c r="AA14" s="651"/>
      <c r="AB14" s="651"/>
      <c r="AC14" s="651"/>
      <c r="AD14" s="651"/>
      <c r="AE14" s="651"/>
      <c r="AF14" s="651"/>
      <c r="AG14" s="218" t="s">
        <v>181</v>
      </c>
      <c r="AH14" s="651" t="s">
        <v>182</v>
      </c>
      <c r="AI14" s="651"/>
      <c r="AJ14" s="651"/>
      <c r="AK14" s="651"/>
      <c r="AL14" s="651"/>
      <c r="AM14" s="651"/>
      <c r="AN14" s="651"/>
    </row>
    <row r="15" spans="1:40" s="30" customFormat="1" ht="66" x14ac:dyDescent="0.25">
      <c r="A15" s="651"/>
      <c r="B15" s="651"/>
      <c r="C15" s="651"/>
      <c r="D15" s="215" t="s">
        <v>183</v>
      </c>
      <c r="E15" s="215" t="s">
        <v>183</v>
      </c>
      <c r="F15" s="216" t="s">
        <v>184</v>
      </c>
      <c r="G15" s="216" t="s">
        <v>185</v>
      </c>
      <c r="H15" s="216" t="s">
        <v>186</v>
      </c>
      <c r="I15" s="216" t="s">
        <v>187</v>
      </c>
      <c r="J15" s="216" t="s">
        <v>188</v>
      </c>
      <c r="K15" s="215" t="s">
        <v>183</v>
      </c>
      <c r="L15" s="215" t="s">
        <v>183</v>
      </c>
      <c r="M15" s="216" t="s">
        <v>184</v>
      </c>
      <c r="N15" s="216" t="s">
        <v>185</v>
      </c>
      <c r="O15" s="216" t="s">
        <v>186</v>
      </c>
      <c r="P15" s="216" t="s">
        <v>187</v>
      </c>
      <c r="Q15" s="216" t="s">
        <v>188</v>
      </c>
      <c r="R15" s="215" t="s">
        <v>183</v>
      </c>
      <c r="S15" s="215" t="s">
        <v>183</v>
      </c>
      <c r="T15" s="216" t="s">
        <v>184</v>
      </c>
      <c r="U15" s="216" t="s">
        <v>185</v>
      </c>
      <c r="V15" s="216" t="s">
        <v>186</v>
      </c>
      <c r="W15" s="216" t="s">
        <v>187</v>
      </c>
      <c r="X15" s="216" t="s">
        <v>188</v>
      </c>
      <c r="Y15" s="215" t="s">
        <v>183</v>
      </c>
      <c r="Z15" s="215" t="s">
        <v>183</v>
      </c>
      <c r="AA15" s="216" t="s">
        <v>184</v>
      </c>
      <c r="AB15" s="216" t="s">
        <v>185</v>
      </c>
      <c r="AC15" s="216" t="s">
        <v>186</v>
      </c>
      <c r="AD15" s="216" t="s">
        <v>187</v>
      </c>
      <c r="AE15" s="216" t="s">
        <v>506</v>
      </c>
      <c r="AF15" s="216" t="s">
        <v>507</v>
      </c>
      <c r="AG15" s="215" t="s">
        <v>183</v>
      </c>
      <c r="AH15" s="215" t="s">
        <v>183</v>
      </c>
      <c r="AI15" s="216" t="s">
        <v>184</v>
      </c>
      <c r="AJ15" s="216" t="s">
        <v>185</v>
      </c>
      <c r="AK15" s="216" t="s">
        <v>186</v>
      </c>
      <c r="AL15" s="216" t="s">
        <v>187</v>
      </c>
      <c r="AM15" s="216" t="s">
        <v>506</v>
      </c>
      <c r="AN15" s="216" t="s">
        <v>507</v>
      </c>
    </row>
    <row r="16" spans="1:40" s="30" customFormat="1" x14ac:dyDescent="0.25">
      <c r="A16" s="217">
        <v>1</v>
      </c>
      <c r="B16" s="217">
        <v>2</v>
      </c>
      <c r="C16" s="217">
        <v>3</v>
      </c>
      <c r="D16" s="116" t="s">
        <v>267</v>
      </c>
      <c r="E16" s="116" t="s">
        <v>268</v>
      </c>
      <c r="F16" s="116" t="s">
        <v>269</v>
      </c>
      <c r="G16" s="116" t="s">
        <v>270</v>
      </c>
      <c r="H16" s="116" t="s">
        <v>271</v>
      </c>
      <c r="I16" s="116" t="s">
        <v>272</v>
      </c>
      <c r="J16" s="116" t="s">
        <v>273</v>
      </c>
      <c r="K16" s="116" t="s">
        <v>274</v>
      </c>
      <c r="L16" s="116" t="s">
        <v>275</v>
      </c>
      <c r="M16" s="116" t="s">
        <v>276</v>
      </c>
      <c r="N16" s="116" t="s">
        <v>277</v>
      </c>
      <c r="O16" s="116" t="s">
        <v>278</v>
      </c>
      <c r="P16" s="116" t="s">
        <v>279</v>
      </c>
      <c r="Q16" s="116" t="s">
        <v>280</v>
      </c>
      <c r="R16" s="116" t="s">
        <v>281</v>
      </c>
      <c r="S16" s="116" t="s">
        <v>282</v>
      </c>
      <c r="T16" s="116" t="s">
        <v>283</v>
      </c>
      <c r="U16" s="116" t="s">
        <v>284</v>
      </c>
      <c r="V16" s="116" t="s">
        <v>285</v>
      </c>
      <c r="W16" s="116" t="s">
        <v>286</v>
      </c>
      <c r="X16" s="116" t="s">
        <v>287</v>
      </c>
      <c r="Y16" s="116" t="s">
        <v>288</v>
      </c>
      <c r="Z16" s="116" t="s">
        <v>289</v>
      </c>
      <c r="AA16" s="116" t="s">
        <v>290</v>
      </c>
      <c r="AB16" s="116" t="s">
        <v>291</v>
      </c>
      <c r="AC16" s="116" t="s">
        <v>292</v>
      </c>
      <c r="AD16" s="116" t="s">
        <v>293</v>
      </c>
      <c r="AE16" s="116"/>
      <c r="AF16" s="116" t="s">
        <v>294</v>
      </c>
      <c r="AG16" s="116" t="s">
        <v>295</v>
      </c>
      <c r="AH16" s="116" t="s">
        <v>296</v>
      </c>
      <c r="AI16" s="116" t="s">
        <v>297</v>
      </c>
      <c r="AJ16" s="116" t="s">
        <v>298</v>
      </c>
      <c r="AK16" s="116" t="s">
        <v>259</v>
      </c>
      <c r="AL16" s="116" t="s">
        <v>299</v>
      </c>
      <c r="AM16" s="116"/>
      <c r="AN16" s="116" t="s">
        <v>300</v>
      </c>
    </row>
    <row r="17" spans="1:40" s="120" customFormat="1" x14ac:dyDescent="0.25">
      <c r="A17" s="118" t="s">
        <v>31</v>
      </c>
      <c r="B17" s="38" t="s">
        <v>32</v>
      </c>
      <c r="C17" s="119" t="str">
        <f>C18</f>
        <v>нд</v>
      </c>
      <c r="D17" s="119" t="str">
        <f>D18</f>
        <v>нд</v>
      </c>
      <c r="E17" s="119" t="str">
        <f t="shared" ref="E17:AA17" si="0">E18</f>
        <v>нд</v>
      </c>
      <c r="F17" s="119" t="str">
        <f t="shared" si="0"/>
        <v>нд</v>
      </c>
      <c r="G17" s="119" t="str">
        <f t="shared" si="0"/>
        <v>нд</v>
      </c>
      <c r="H17" s="119" t="str">
        <f t="shared" si="0"/>
        <v>нд</v>
      </c>
      <c r="I17" s="119" t="str">
        <f t="shared" si="0"/>
        <v>нд</v>
      </c>
      <c r="J17" s="119" t="str">
        <f t="shared" si="0"/>
        <v>нд</v>
      </c>
      <c r="K17" s="119" t="str">
        <f t="shared" si="0"/>
        <v>нд</v>
      </c>
      <c r="L17" s="119" t="str">
        <f t="shared" si="0"/>
        <v>нд</v>
      </c>
      <c r="M17" s="119" t="str">
        <f t="shared" si="0"/>
        <v>нд</v>
      </c>
      <c r="N17" s="119" t="str">
        <f t="shared" si="0"/>
        <v>нд</v>
      </c>
      <c r="O17" s="119" t="str">
        <f t="shared" si="0"/>
        <v>нд</v>
      </c>
      <c r="P17" s="119" t="str">
        <f t="shared" si="0"/>
        <v>нд</v>
      </c>
      <c r="Q17" s="119" t="str">
        <f t="shared" si="0"/>
        <v>нд</v>
      </c>
      <c r="R17" s="119" t="str">
        <f t="shared" si="0"/>
        <v>нд</v>
      </c>
      <c r="S17" s="119" t="str">
        <f t="shared" si="0"/>
        <v>нд</v>
      </c>
      <c r="T17" s="119" t="str">
        <f t="shared" si="0"/>
        <v>нд</v>
      </c>
      <c r="U17" s="119" t="str">
        <f t="shared" si="0"/>
        <v>нд</v>
      </c>
      <c r="V17" s="119" t="str">
        <f t="shared" si="0"/>
        <v>нд</v>
      </c>
      <c r="W17" s="119" t="str">
        <f t="shared" si="0"/>
        <v>нд</v>
      </c>
      <c r="X17" s="119" t="str">
        <f t="shared" si="0"/>
        <v>нд</v>
      </c>
      <c r="Y17" s="119" t="str">
        <f t="shared" si="0"/>
        <v>нд</v>
      </c>
      <c r="Z17" s="119">
        <f t="shared" si="0"/>
        <v>10.518329999999999</v>
      </c>
      <c r="AA17" s="119">
        <f t="shared" si="0"/>
        <v>0.25</v>
      </c>
      <c r="AB17" s="119" t="str">
        <f t="shared" ref="AB17" si="1">AB18</f>
        <v>нд</v>
      </c>
      <c r="AC17" s="119">
        <f t="shared" ref="AC17" si="2">AC18</f>
        <v>3.3</v>
      </c>
      <c r="AD17" s="119">
        <f t="shared" ref="AD17" si="3">AD18</f>
        <v>0</v>
      </c>
      <c r="AE17" s="182" t="str">
        <f t="shared" ref="AE17" si="4">AE18</f>
        <v>нд</v>
      </c>
      <c r="AF17" s="119" t="str">
        <f t="shared" ref="AF17" si="5">AF18</f>
        <v>нд</v>
      </c>
      <c r="AG17" s="119" t="str">
        <f t="shared" ref="AG17:AH17" si="6">AG18</f>
        <v>нд</v>
      </c>
      <c r="AH17" s="119">
        <f t="shared" si="6"/>
        <v>10.518329999999999</v>
      </c>
      <c r="AI17" s="119">
        <f t="shared" ref="AI17" si="7">AI18</f>
        <v>0.25</v>
      </c>
      <c r="AJ17" s="119" t="str">
        <f t="shared" ref="AJ17" si="8">AJ18</f>
        <v>нд</v>
      </c>
      <c r="AK17" s="119">
        <f t="shared" ref="AK17" si="9">AK18</f>
        <v>3.3</v>
      </c>
      <c r="AL17" s="119" t="str">
        <f t="shared" ref="AL17" si="10">AL18</f>
        <v>нд</v>
      </c>
      <c r="AM17" s="182" t="str">
        <f t="shared" ref="AM17" si="11">AM18</f>
        <v>нд</v>
      </c>
      <c r="AN17" s="119" t="str">
        <f t="shared" ref="AN17" si="12">AN18</f>
        <v>нд</v>
      </c>
    </row>
    <row r="18" spans="1:40" s="123" customFormat="1" ht="24.75" customHeight="1" x14ac:dyDescent="0.25">
      <c r="A18" s="121" t="s">
        <v>55</v>
      </c>
      <c r="B18" s="9" t="s">
        <v>34</v>
      </c>
      <c r="C18" s="122" t="s">
        <v>33</v>
      </c>
      <c r="D18" s="122" t="s">
        <v>33</v>
      </c>
      <c r="E18" s="122" t="s">
        <v>33</v>
      </c>
      <c r="F18" s="122" t="s">
        <v>33</v>
      </c>
      <c r="G18" s="122" t="s">
        <v>33</v>
      </c>
      <c r="H18" s="122" t="s">
        <v>33</v>
      </c>
      <c r="I18" s="122" t="s">
        <v>33</v>
      </c>
      <c r="J18" s="122" t="s">
        <v>33</v>
      </c>
      <c r="K18" s="122" t="s">
        <v>33</v>
      </c>
      <c r="L18" s="122" t="s">
        <v>33</v>
      </c>
      <c r="M18" s="122" t="s">
        <v>33</v>
      </c>
      <c r="N18" s="122" t="s">
        <v>33</v>
      </c>
      <c r="O18" s="122" t="s">
        <v>33</v>
      </c>
      <c r="P18" s="122" t="s">
        <v>33</v>
      </c>
      <c r="Q18" s="122" t="s">
        <v>33</v>
      </c>
      <c r="R18" s="122" t="s">
        <v>33</v>
      </c>
      <c r="S18" s="122" t="s">
        <v>33</v>
      </c>
      <c r="T18" s="122" t="s">
        <v>33</v>
      </c>
      <c r="U18" s="122" t="s">
        <v>33</v>
      </c>
      <c r="V18" s="122" t="s">
        <v>33</v>
      </c>
      <c r="W18" s="122" t="s">
        <v>33</v>
      </c>
      <c r="X18" s="122" t="s">
        <v>33</v>
      </c>
      <c r="Y18" s="122" t="s">
        <v>33</v>
      </c>
      <c r="Z18" s="122">
        <f>Z19</f>
        <v>10.518329999999999</v>
      </c>
      <c r="AA18" s="122">
        <f>AA19</f>
        <v>0.25</v>
      </c>
      <c r="AB18" s="122" t="str">
        <f t="shared" ref="AB18:AN18" si="13">AB19</f>
        <v>нд</v>
      </c>
      <c r="AC18" s="122">
        <f t="shared" si="13"/>
        <v>3.3</v>
      </c>
      <c r="AD18" s="122">
        <f t="shared" si="13"/>
        <v>0</v>
      </c>
      <c r="AE18" s="319" t="str">
        <f t="shared" si="13"/>
        <v>нд</v>
      </c>
      <c r="AF18" s="122" t="str">
        <f t="shared" si="13"/>
        <v>нд</v>
      </c>
      <c r="AG18" s="122" t="str">
        <f t="shared" si="13"/>
        <v>нд</v>
      </c>
      <c r="AH18" s="122">
        <f>AH19</f>
        <v>10.518329999999999</v>
      </c>
      <c r="AI18" s="122">
        <f t="shared" ref="AI18" si="14">AI19</f>
        <v>0.25</v>
      </c>
      <c r="AJ18" s="122" t="str">
        <f t="shared" si="13"/>
        <v>нд</v>
      </c>
      <c r="AK18" s="122">
        <f t="shared" si="13"/>
        <v>3.3</v>
      </c>
      <c r="AL18" s="122" t="str">
        <f t="shared" si="13"/>
        <v>нд</v>
      </c>
      <c r="AM18" s="319" t="str">
        <f t="shared" si="13"/>
        <v>нд</v>
      </c>
      <c r="AN18" s="122" t="str">
        <f t="shared" si="13"/>
        <v>нд</v>
      </c>
    </row>
    <row r="19" spans="1:40" s="120" customFormat="1" ht="31.5" x14ac:dyDescent="0.25">
      <c r="A19" s="118" t="s">
        <v>36</v>
      </c>
      <c r="B19" s="38" t="s">
        <v>37</v>
      </c>
      <c r="C19" s="119" t="s">
        <v>33</v>
      </c>
      <c r="D19" s="119" t="s">
        <v>33</v>
      </c>
      <c r="E19" s="119" t="s">
        <v>33</v>
      </c>
      <c r="F19" s="119" t="s">
        <v>33</v>
      </c>
      <c r="G19" s="119" t="s">
        <v>33</v>
      </c>
      <c r="H19" s="119" t="s">
        <v>33</v>
      </c>
      <c r="I19" s="119" t="s">
        <v>33</v>
      </c>
      <c r="J19" s="119" t="s">
        <v>33</v>
      </c>
      <c r="K19" s="119" t="s">
        <v>33</v>
      </c>
      <c r="L19" s="119" t="s">
        <v>33</v>
      </c>
      <c r="M19" s="119" t="s">
        <v>33</v>
      </c>
      <c r="N19" s="119" t="s">
        <v>33</v>
      </c>
      <c r="O19" s="119" t="s">
        <v>33</v>
      </c>
      <c r="P19" s="119" t="s">
        <v>33</v>
      </c>
      <c r="Q19" s="119" t="s">
        <v>33</v>
      </c>
      <c r="R19" s="119" t="s">
        <v>33</v>
      </c>
      <c r="S19" s="119" t="s">
        <v>33</v>
      </c>
      <c r="T19" s="119" t="s">
        <v>33</v>
      </c>
      <c r="U19" s="119" t="s">
        <v>33</v>
      </c>
      <c r="V19" s="119" t="s">
        <v>33</v>
      </c>
      <c r="W19" s="119" t="s">
        <v>33</v>
      </c>
      <c r="X19" s="119" t="s">
        <v>33</v>
      </c>
      <c r="Y19" s="119" t="s">
        <v>33</v>
      </c>
      <c r="Z19" s="119">
        <f>Z25+Z20</f>
        <v>10.518329999999999</v>
      </c>
      <c r="AA19" s="119">
        <f>AA25</f>
        <v>0.25</v>
      </c>
      <c r="AB19" s="119" t="s">
        <v>33</v>
      </c>
      <c r="AC19" s="119">
        <f>AC25</f>
        <v>3.3</v>
      </c>
      <c r="AD19" s="119">
        <f>AD25</f>
        <v>0</v>
      </c>
      <c r="AE19" s="182" t="str">
        <f>AE32</f>
        <v>нд</v>
      </c>
      <c r="AF19" s="119" t="s">
        <v>33</v>
      </c>
      <c r="AG19" s="119" t="s">
        <v>33</v>
      </c>
      <c r="AH19" s="119">
        <f>AH25+AH20</f>
        <v>10.518329999999999</v>
      </c>
      <c r="AI19" s="119">
        <f>AI25</f>
        <v>0.25</v>
      </c>
      <c r="AJ19" s="119" t="s">
        <v>33</v>
      </c>
      <c r="AK19" s="119">
        <f>AK25</f>
        <v>3.3</v>
      </c>
      <c r="AL19" s="119" t="str">
        <f>AL25</f>
        <v>нд</v>
      </c>
      <c r="AM19" s="182" t="str">
        <f>AM32</f>
        <v>нд</v>
      </c>
      <c r="AN19" s="119" t="s">
        <v>33</v>
      </c>
    </row>
    <row r="20" spans="1:40" s="126" customFormat="1" ht="47.25" x14ac:dyDescent="0.25">
      <c r="A20" s="124" t="s">
        <v>53</v>
      </c>
      <c r="B20" s="39" t="s">
        <v>54</v>
      </c>
      <c r="C20" s="125" t="str">
        <f>C21</f>
        <v>нд</v>
      </c>
      <c r="D20" s="125" t="str">
        <f>D21</f>
        <v>нд</v>
      </c>
      <c r="E20" s="125" t="str">
        <f t="shared" ref="E20:AI20" si="15">E21</f>
        <v>нд</v>
      </c>
      <c r="F20" s="125" t="str">
        <f t="shared" si="15"/>
        <v>нд</v>
      </c>
      <c r="G20" s="125" t="str">
        <f t="shared" si="15"/>
        <v>нд</v>
      </c>
      <c r="H20" s="125" t="str">
        <f t="shared" si="15"/>
        <v>нд</v>
      </c>
      <c r="I20" s="125" t="str">
        <f t="shared" si="15"/>
        <v>нд</v>
      </c>
      <c r="J20" s="125" t="str">
        <f t="shared" si="15"/>
        <v>нд</v>
      </c>
      <c r="K20" s="125" t="str">
        <f t="shared" si="15"/>
        <v>нд</v>
      </c>
      <c r="L20" s="125" t="str">
        <f t="shared" si="15"/>
        <v>нд</v>
      </c>
      <c r="M20" s="125" t="str">
        <f t="shared" si="15"/>
        <v>нд</v>
      </c>
      <c r="N20" s="125" t="str">
        <f t="shared" si="15"/>
        <v>нд</v>
      </c>
      <c r="O20" s="125" t="str">
        <f t="shared" si="15"/>
        <v>нд</v>
      </c>
      <c r="P20" s="125" t="str">
        <f t="shared" si="15"/>
        <v>нд</v>
      </c>
      <c r="Q20" s="125" t="str">
        <f t="shared" si="15"/>
        <v>нд</v>
      </c>
      <c r="R20" s="125" t="str">
        <f t="shared" si="15"/>
        <v>нд</v>
      </c>
      <c r="S20" s="125" t="str">
        <f t="shared" si="15"/>
        <v>нд</v>
      </c>
      <c r="T20" s="125" t="str">
        <f t="shared" si="15"/>
        <v>нд</v>
      </c>
      <c r="U20" s="125" t="str">
        <f t="shared" si="15"/>
        <v>нд</v>
      </c>
      <c r="V20" s="125" t="str">
        <f t="shared" si="15"/>
        <v>нд</v>
      </c>
      <c r="W20" s="125" t="str">
        <f t="shared" si="15"/>
        <v>нд</v>
      </c>
      <c r="X20" s="125" t="str">
        <f t="shared" si="15"/>
        <v>нд</v>
      </c>
      <c r="Y20" s="125" t="str">
        <f t="shared" si="15"/>
        <v>нд</v>
      </c>
      <c r="Z20" s="125">
        <f t="shared" si="15"/>
        <v>5.1513145299999996</v>
      </c>
      <c r="AA20" s="125" t="str">
        <f t="shared" si="15"/>
        <v>нд</v>
      </c>
      <c r="AB20" s="125" t="str">
        <f t="shared" si="15"/>
        <v>нд</v>
      </c>
      <c r="AC20" s="125" t="str">
        <f t="shared" si="15"/>
        <v>нд</v>
      </c>
      <c r="AD20" s="125" t="str">
        <f t="shared" si="15"/>
        <v>нд</v>
      </c>
      <c r="AE20" s="125" t="str">
        <f t="shared" si="15"/>
        <v>нд</v>
      </c>
      <c r="AF20" s="125" t="str">
        <f t="shared" si="15"/>
        <v>нд</v>
      </c>
      <c r="AG20" s="125" t="str">
        <f t="shared" si="15"/>
        <v>нд</v>
      </c>
      <c r="AH20" s="125">
        <f t="shared" si="15"/>
        <v>5.1513145299999996</v>
      </c>
      <c r="AI20" s="125" t="str">
        <f t="shared" si="15"/>
        <v>нд</v>
      </c>
      <c r="AJ20" s="125" t="str">
        <f t="shared" ref="AJ20" si="16">AJ21</f>
        <v>нд</v>
      </c>
      <c r="AK20" s="125" t="str">
        <f t="shared" ref="AK20" si="17">AK21</f>
        <v>нд</v>
      </c>
      <c r="AL20" s="125" t="str">
        <f t="shared" ref="AL20" si="18">AL21</f>
        <v>нд</v>
      </c>
      <c r="AM20" s="125" t="str">
        <f t="shared" ref="AM20" si="19">AM21</f>
        <v>нд</v>
      </c>
      <c r="AN20" s="125" t="str">
        <f t="shared" ref="AN20" si="20">AN21</f>
        <v>нд</v>
      </c>
    </row>
    <row r="21" spans="1:40" s="129" customFormat="1" ht="21" customHeight="1" x14ac:dyDescent="0.25">
      <c r="A21" s="127" t="s">
        <v>38</v>
      </c>
      <c r="B21" s="10" t="s">
        <v>39</v>
      </c>
      <c r="C21" s="317" t="s">
        <v>33</v>
      </c>
      <c r="D21" s="317" t="s">
        <v>33</v>
      </c>
      <c r="E21" s="317" t="s">
        <v>33</v>
      </c>
      <c r="F21" s="317" t="s">
        <v>33</v>
      </c>
      <c r="G21" s="317" t="s">
        <v>33</v>
      </c>
      <c r="H21" s="317" t="s">
        <v>33</v>
      </c>
      <c r="I21" s="317" t="s">
        <v>33</v>
      </c>
      <c r="J21" s="317" t="s">
        <v>33</v>
      </c>
      <c r="K21" s="317" t="s">
        <v>33</v>
      </c>
      <c r="L21" s="317" t="s">
        <v>33</v>
      </c>
      <c r="M21" s="317" t="s">
        <v>33</v>
      </c>
      <c r="N21" s="317" t="s">
        <v>33</v>
      </c>
      <c r="O21" s="317" t="s">
        <v>33</v>
      </c>
      <c r="P21" s="317" t="s">
        <v>33</v>
      </c>
      <c r="Q21" s="317" t="s">
        <v>33</v>
      </c>
      <c r="R21" s="317" t="s">
        <v>33</v>
      </c>
      <c r="S21" s="317" t="s">
        <v>33</v>
      </c>
      <c r="T21" s="317" t="s">
        <v>33</v>
      </c>
      <c r="U21" s="317" t="s">
        <v>33</v>
      </c>
      <c r="V21" s="317" t="s">
        <v>33</v>
      </c>
      <c r="W21" s="317" t="s">
        <v>33</v>
      </c>
      <c r="X21" s="317" t="s">
        <v>33</v>
      </c>
      <c r="Y21" s="317" t="s">
        <v>33</v>
      </c>
      <c r="Z21" s="317">
        <f>SUM(Z22:Z24)</f>
        <v>5.1513145299999996</v>
      </c>
      <c r="AA21" s="317" t="s">
        <v>33</v>
      </c>
      <c r="AB21" s="317" t="s">
        <v>33</v>
      </c>
      <c r="AC21" s="317" t="s">
        <v>33</v>
      </c>
      <c r="AD21" s="317" t="s">
        <v>33</v>
      </c>
      <c r="AE21" s="317" t="s">
        <v>33</v>
      </c>
      <c r="AF21" s="317" t="s">
        <v>33</v>
      </c>
      <c r="AG21" s="317" t="s">
        <v>33</v>
      </c>
      <c r="AH21" s="317">
        <f>SUM(AH22:AH24)</f>
        <v>5.1513145299999996</v>
      </c>
      <c r="AI21" s="317" t="s">
        <v>33</v>
      </c>
      <c r="AJ21" s="317" t="s">
        <v>33</v>
      </c>
      <c r="AK21" s="317" t="s">
        <v>33</v>
      </c>
      <c r="AL21" s="317" t="s">
        <v>33</v>
      </c>
      <c r="AM21" s="317" t="s">
        <v>33</v>
      </c>
      <c r="AN21" s="317" t="s">
        <v>33</v>
      </c>
    </row>
    <row r="22" spans="1:40" s="191" customFormat="1" ht="30" x14ac:dyDescent="0.25">
      <c r="A22" s="13" t="s">
        <v>40</v>
      </c>
      <c r="B22" s="375" t="s">
        <v>1330</v>
      </c>
      <c r="C22" s="410" t="s">
        <v>1348</v>
      </c>
      <c r="D22" s="206" t="s">
        <v>33</v>
      </c>
      <c r="E22" s="206" t="s">
        <v>33</v>
      </c>
      <c r="F22" s="206" t="s">
        <v>33</v>
      </c>
      <c r="G22" s="206" t="s">
        <v>33</v>
      </c>
      <c r="H22" s="206" t="s">
        <v>33</v>
      </c>
      <c r="I22" s="206" t="s">
        <v>33</v>
      </c>
      <c r="J22" s="206" t="s">
        <v>33</v>
      </c>
      <c r="K22" s="206" t="s">
        <v>33</v>
      </c>
      <c r="L22" s="206" t="s">
        <v>33</v>
      </c>
      <c r="M22" s="206" t="s">
        <v>33</v>
      </c>
      <c r="N22" s="206" t="s">
        <v>33</v>
      </c>
      <c r="O22" s="206" t="s">
        <v>33</v>
      </c>
      <c r="P22" s="206" t="s">
        <v>33</v>
      </c>
      <c r="Q22" s="206" t="s">
        <v>33</v>
      </c>
      <c r="R22" s="206" t="s">
        <v>33</v>
      </c>
      <c r="S22" s="206" t="s">
        <v>33</v>
      </c>
      <c r="T22" s="206" t="s">
        <v>33</v>
      </c>
      <c r="U22" s="206" t="s">
        <v>33</v>
      </c>
      <c r="V22" s="206" t="s">
        <v>33</v>
      </c>
      <c r="W22" s="206" t="s">
        <v>33</v>
      </c>
      <c r="X22" s="206" t="s">
        <v>33</v>
      </c>
      <c r="Y22" s="206" t="s">
        <v>33</v>
      </c>
      <c r="Z22" s="516">
        <f>Ф4!AS22</f>
        <v>5.1513145299999996</v>
      </c>
      <c r="AA22" s="516" t="str">
        <f>Ф4!AT22</f>
        <v>нд</v>
      </c>
      <c r="AB22" s="516" t="str">
        <f>Ф4!AU22</f>
        <v>нд</v>
      </c>
      <c r="AC22" s="516" t="str">
        <f>Ф4!AV22</f>
        <v>нд</v>
      </c>
      <c r="AD22" s="516" t="str">
        <f>Ф4!AW22</f>
        <v>нд</v>
      </c>
      <c r="AE22" s="516" t="str">
        <f>Ф4!AX22</f>
        <v>нд</v>
      </c>
      <c r="AF22" s="516" t="str">
        <f>Ф4!AY22</f>
        <v>нд</v>
      </c>
      <c r="AG22" s="206" t="s">
        <v>33</v>
      </c>
      <c r="AH22" s="517">
        <f>Z22</f>
        <v>5.1513145299999996</v>
      </c>
      <c r="AI22" s="517" t="s">
        <v>33</v>
      </c>
      <c r="AJ22" s="517" t="s">
        <v>33</v>
      </c>
      <c r="AK22" s="517" t="s">
        <v>33</v>
      </c>
      <c r="AL22" s="517" t="s">
        <v>33</v>
      </c>
      <c r="AM22" s="517" t="s">
        <v>33</v>
      </c>
      <c r="AN22" s="517" t="s">
        <v>33</v>
      </c>
    </row>
    <row r="23" spans="1:40" s="191" customFormat="1" x14ac:dyDescent="0.25">
      <c r="A23" s="13" t="s">
        <v>465</v>
      </c>
      <c r="B23" s="237" t="s">
        <v>648</v>
      </c>
      <c r="C23" s="410" t="s">
        <v>637</v>
      </c>
      <c r="D23" s="206" t="s">
        <v>33</v>
      </c>
      <c r="E23" s="206" t="s">
        <v>33</v>
      </c>
      <c r="F23" s="206" t="s">
        <v>33</v>
      </c>
      <c r="G23" s="206" t="s">
        <v>33</v>
      </c>
      <c r="H23" s="206" t="s">
        <v>33</v>
      </c>
      <c r="I23" s="206" t="s">
        <v>33</v>
      </c>
      <c r="J23" s="206" t="s">
        <v>33</v>
      </c>
      <c r="K23" s="206" t="s">
        <v>33</v>
      </c>
      <c r="L23" s="206" t="s">
        <v>33</v>
      </c>
      <c r="M23" s="206" t="s">
        <v>33</v>
      </c>
      <c r="N23" s="206" t="s">
        <v>33</v>
      </c>
      <c r="O23" s="206" t="s">
        <v>33</v>
      </c>
      <c r="P23" s="206" t="s">
        <v>33</v>
      </c>
      <c r="Q23" s="206" t="s">
        <v>33</v>
      </c>
      <c r="R23" s="206" t="s">
        <v>33</v>
      </c>
      <c r="S23" s="206" t="s">
        <v>33</v>
      </c>
      <c r="T23" s="206" t="s">
        <v>33</v>
      </c>
      <c r="U23" s="206" t="s">
        <v>33</v>
      </c>
      <c r="V23" s="206" t="s">
        <v>33</v>
      </c>
      <c r="W23" s="206" t="s">
        <v>33</v>
      </c>
      <c r="X23" s="206" t="s">
        <v>33</v>
      </c>
      <c r="Y23" s="206" t="s">
        <v>33</v>
      </c>
      <c r="Z23" s="206" t="s">
        <v>33</v>
      </c>
      <c r="AA23" s="206" t="s">
        <v>33</v>
      </c>
      <c r="AB23" s="206" t="s">
        <v>33</v>
      </c>
      <c r="AC23" s="206" t="s">
        <v>33</v>
      </c>
      <c r="AD23" s="206" t="s">
        <v>33</v>
      </c>
      <c r="AE23" s="206" t="s">
        <v>33</v>
      </c>
      <c r="AF23" s="206" t="s">
        <v>33</v>
      </c>
      <c r="AG23" s="206" t="s">
        <v>33</v>
      </c>
      <c r="AH23" s="206" t="s">
        <v>33</v>
      </c>
      <c r="AI23" s="206" t="s">
        <v>33</v>
      </c>
      <c r="AJ23" s="206" t="s">
        <v>33</v>
      </c>
      <c r="AK23" s="206" t="s">
        <v>33</v>
      </c>
      <c r="AL23" s="206" t="s">
        <v>33</v>
      </c>
      <c r="AM23" s="206" t="s">
        <v>33</v>
      </c>
      <c r="AN23" s="206" t="s">
        <v>33</v>
      </c>
    </row>
    <row r="24" spans="1:40" s="191" customFormat="1" x14ac:dyDescent="0.25">
      <c r="A24" s="13" t="s">
        <v>615</v>
      </c>
      <c r="B24" s="237" t="s">
        <v>649</v>
      </c>
      <c r="C24" s="410" t="s">
        <v>638</v>
      </c>
      <c r="D24" s="206" t="s">
        <v>33</v>
      </c>
      <c r="E24" s="206" t="s">
        <v>33</v>
      </c>
      <c r="F24" s="206" t="s">
        <v>33</v>
      </c>
      <c r="G24" s="206" t="s">
        <v>33</v>
      </c>
      <c r="H24" s="206" t="s">
        <v>33</v>
      </c>
      <c r="I24" s="206" t="s">
        <v>33</v>
      </c>
      <c r="J24" s="206" t="s">
        <v>33</v>
      </c>
      <c r="K24" s="206" t="s">
        <v>33</v>
      </c>
      <c r="L24" s="206" t="s">
        <v>33</v>
      </c>
      <c r="M24" s="206" t="s">
        <v>33</v>
      </c>
      <c r="N24" s="206" t="s">
        <v>33</v>
      </c>
      <c r="O24" s="206" t="s">
        <v>33</v>
      </c>
      <c r="P24" s="206" t="s">
        <v>33</v>
      </c>
      <c r="Q24" s="206" t="s">
        <v>33</v>
      </c>
      <c r="R24" s="206" t="s">
        <v>33</v>
      </c>
      <c r="S24" s="206" t="s">
        <v>33</v>
      </c>
      <c r="T24" s="206" t="s">
        <v>33</v>
      </c>
      <c r="U24" s="206" t="s">
        <v>33</v>
      </c>
      <c r="V24" s="206" t="s">
        <v>33</v>
      </c>
      <c r="W24" s="206" t="s">
        <v>33</v>
      </c>
      <c r="X24" s="206" t="s">
        <v>33</v>
      </c>
      <c r="Y24" s="206" t="s">
        <v>33</v>
      </c>
      <c r="Z24" s="206" t="s">
        <v>33</v>
      </c>
      <c r="AA24" s="206" t="s">
        <v>33</v>
      </c>
      <c r="AB24" s="206" t="s">
        <v>33</v>
      </c>
      <c r="AC24" s="206" t="s">
        <v>33</v>
      </c>
      <c r="AD24" s="206" t="s">
        <v>33</v>
      </c>
      <c r="AE24" s="206" t="s">
        <v>33</v>
      </c>
      <c r="AF24" s="206" t="s">
        <v>33</v>
      </c>
      <c r="AG24" s="206" t="s">
        <v>33</v>
      </c>
      <c r="AH24" s="206" t="s">
        <v>33</v>
      </c>
      <c r="AI24" s="206" t="s">
        <v>33</v>
      </c>
      <c r="AJ24" s="206" t="s">
        <v>33</v>
      </c>
      <c r="AK24" s="206" t="s">
        <v>33</v>
      </c>
      <c r="AL24" s="206" t="s">
        <v>33</v>
      </c>
      <c r="AM24" s="206" t="s">
        <v>33</v>
      </c>
      <c r="AN24" s="206" t="s">
        <v>33</v>
      </c>
    </row>
    <row r="25" spans="1:40" s="126" customFormat="1" ht="31.5" x14ac:dyDescent="0.25">
      <c r="A25" s="124" t="s">
        <v>41</v>
      </c>
      <c r="B25" s="39" t="s">
        <v>42</v>
      </c>
      <c r="C25" s="125" t="str">
        <f>C26</f>
        <v>нд</v>
      </c>
      <c r="D25" s="125" t="str">
        <f>D26</f>
        <v>нд</v>
      </c>
      <c r="E25" s="125" t="str">
        <f t="shared" ref="E25:Y25" si="21">E26</f>
        <v>нд</v>
      </c>
      <c r="F25" s="125" t="str">
        <f t="shared" si="21"/>
        <v>нд</v>
      </c>
      <c r="G25" s="125" t="str">
        <f t="shared" si="21"/>
        <v>нд</v>
      </c>
      <c r="H25" s="125" t="str">
        <f t="shared" si="21"/>
        <v>нд</v>
      </c>
      <c r="I25" s="125" t="str">
        <f t="shared" si="21"/>
        <v>нд</v>
      </c>
      <c r="J25" s="125" t="str">
        <f t="shared" si="21"/>
        <v>нд</v>
      </c>
      <c r="K25" s="125" t="str">
        <f t="shared" si="21"/>
        <v>нд</v>
      </c>
      <c r="L25" s="125" t="str">
        <f t="shared" si="21"/>
        <v>нд</v>
      </c>
      <c r="M25" s="125" t="str">
        <f t="shared" si="21"/>
        <v>нд</v>
      </c>
      <c r="N25" s="125" t="str">
        <f t="shared" si="21"/>
        <v>нд</v>
      </c>
      <c r="O25" s="125" t="str">
        <f t="shared" si="21"/>
        <v>нд</v>
      </c>
      <c r="P25" s="125" t="str">
        <f t="shared" si="21"/>
        <v>нд</v>
      </c>
      <c r="Q25" s="125" t="str">
        <f t="shared" si="21"/>
        <v>нд</v>
      </c>
      <c r="R25" s="125" t="str">
        <f t="shared" si="21"/>
        <v>нд</v>
      </c>
      <c r="S25" s="125" t="str">
        <f t="shared" si="21"/>
        <v>нд</v>
      </c>
      <c r="T25" s="125" t="str">
        <f t="shared" si="21"/>
        <v>нд</v>
      </c>
      <c r="U25" s="125" t="str">
        <f t="shared" si="21"/>
        <v>нд</v>
      </c>
      <c r="V25" s="125" t="str">
        <f t="shared" si="21"/>
        <v>нд</v>
      </c>
      <c r="W25" s="125" t="str">
        <f t="shared" si="21"/>
        <v>нд</v>
      </c>
      <c r="X25" s="125" t="str">
        <f t="shared" si="21"/>
        <v>нд</v>
      </c>
      <c r="Y25" s="125" t="str">
        <f t="shared" si="21"/>
        <v>нд</v>
      </c>
      <c r="Z25" s="125">
        <f t="shared" ref="Z25:AA25" si="22">Z26</f>
        <v>5.3670154700000001</v>
      </c>
      <c r="AA25" s="125">
        <f t="shared" si="22"/>
        <v>0.25</v>
      </c>
      <c r="AB25" s="125" t="str">
        <f t="shared" ref="AB25" si="23">AB26</f>
        <v>нд</v>
      </c>
      <c r="AC25" s="125">
        <f t="shared" ref="AC25" si="24">AC26</f>
        <v>3.3</v>
      </c>
      <c r="AD25" s="125">
        <f t="shared" ref="AD25" si="25">AD26</f>
        <v>0</v>
      </c>
      <c r="AE25" s="125" t="str">
        <f t="shared" ref="AE25" si="26">AE26</f>
        <v>нд</v>
      </c>
      <c r="AF25" s="125" t="str">
        <f t="shared" ref="AF25" si="27">AF26</f>
        <v>нд</v>
      </c>
      <c r="AG25" s="125" t="str">
        <f t="shared" ref="AG25" si="28">AG26</f>
        <v>нд</v>
      </c>
      <c r="AH25" s="125">
        <f t="shared" ref="AH25:AI25" si="29">AH26</f>
        <v>5.3670154700000001</v>
      </c>
      <c r="AI25" s="125">
        <f t="shared" si="29"/>
        <v>0.25</v>
      </c>
      <c r="AJ25" s="125" t="str">
        <f t="shared" ref="AJ25" si="30">AJ26</f>
        <v>нд</v>
      </c>
      <c r="AK25" s="125">
        <f t="shared" ref="AK25:AK26" si="31">AK26</f>
        <v>3.3</v>
      </c>
      <c r="AL25" s="125" t="str">
        <f t="shared" ref="AL25:AL26" si="32">AL26</f>
        <v>нд</v>
      </c>
      <c r="AM25" s="180" t="str">
        <f t="shared" ref="AM25" si="33">AM26</f>
        <v>нд</v>
      </c>
      <c r="AN25" s="125" t="str">
        <f t="shared" ref="AN25" si="34">AN26</f>
        <v>нд</v>
      </c>
    </row>
    <row r="26" spans="1:40" s="129" customFormat="1" x14ac:dyDescent="0.25">
      <c r="A26" s="127" t="s">
        <v>49</v>
      </c>
      <c r="B26" s="10" t="s">
        <v>50</v>
      </c>
      <c r="C26" s="317" t="s">
        <v>33</v>
      </c>
      <c r="D26" s="317" t="s">
        <v>33</v>
      </c>
      <c r="E26" s="317" t="s">
        <v>33</v>
      </c>
      <c r="F26" s="317" t="s">
        <v>33</v>
      </c>
      <c r="G26" s="317" t="s">
        <v>33</v>
      </c>
      <c r="H26" s="317" t="s">
        <v>33</v>
      </c>
      <c r="I26" s="317" t="s">
        <v>33</v>
      </c>
      <c r="J26" s="317" t="s">
        <v>33</v>
      </c>
      <c r="K26" s="317" t="s">
        <v>33</v>
      </c>
      <c r="L26" s="317" t="s">
        <v>33</v>
      </c>
      <c r="M26" s="317" t="s">
        <v>33</v>
      </c>
      <c r="N26" s="317" t="s">
        <v>33</v>
      </c>
      <c r="O26" s="317" t="s">
        <v>33</v>
      </c>
      <c r="P26" s="317" t="s">
        <v>33</v>
      </c>
      <c r="Q26" s="317" t="s">
        <v>33</v>
      </c>
      <c r="R26" s="317" t="s">
        <v>33</v>
      </c>
      <c r="S26" s="317" t="s">
        <v>33</v>
      </c>
      <c r="T26" s="317" t="s">
        <v>33</v>
      </c>
      <c r="U26" s="317" t="s">
        <v>33</v>
      </c>
      <c r="V26" s="317" t="s">
        <v>33</v>
      </c>
      <c r="W26" s="317" t="s">
        <v>33</v>
      </c>
      <c r="X26" s="317" t="s">
        <v>33</v>
      </c>
      <c r="Y26" s="317" t="s">
        <v>33</v>
      </c>
      <c r="Z26" s="128">
        <f t="shared" ref="Z26:AA26" si="35">SUM(Z27:Z31)</f>
        <v>5.3670154700000001</v>
      </c>
      <c r="AA26" s="128">
        <f t="shared" si="35"/>
        <v>0.25</v>
      </c>
      <c r="AB26" s="317" t="s">
        <v>33</v>
      </c>
      <c r="AC26" s="128">
        <f t="shared" ref="AC26" si="36">SUM(AC27:AC31)</f>
        <v>3.3</v>
      </c>
      <c r="AD26" s="128">
        <f t="shared" ref="AD26" si="37">SUM(AD27:AD31)</f>
        <v>0</v>
      </c>
      <c r="AE26" s="317" t="s">
        <v>33</v>
      </c>
      <c r="AF26" s="317" t="s">
        <v>33</v>
      </c>
      <c r="AG26" s="317" t="s">
        <v>33</v>
      </c>
      <c r="AH26" s="128">
        <f>AH27</f>
        <v>5.3670154700000001</v>
      </c>
      <c r="AI26" s="128">
        <f>AI27</f>
        <v>0.25</v>
      </c>
      <c r="AJ26" s="317" t="s">
        <v>33</v>
      </c>
      <c r="AK26" s="128">
        <f t="shared" si="31"/>
        <v>3.3</v>
      </c>
      <c r="AL26" s="128" t="str">
        <f t="shared" si="32"/>
        <v>нд</v>
      </c>
      <c r="AM26" s="317" t="s">
        <v>33</v>
      </c>
      <c r="AN26" s="317" t="s">
        <v>33</v>
      </c>
    </row>
    <row r="27" spans="1:40" s="191" customFormat="1" ht="48" customHeight="1" x14ac:dyDescent="0.25">
      <c r="A27" s="13" t="s">
        <v>51</v>
      </c>
      <c r="B27" s="236" t="s">
        <v>650</v>
      </c>
      <c r="C27" s="410" t="s">
        <v>1329</v>
      </c>
      <c r="D27" s="317" t="s">
        <v>33</v>
      </c>
      <c r="E27" s="317" t="s">
        <v>33</v>
      </c>
      <c r="F27" s="317" t="s">
        <v>33</v>
      </c>
      <c r="G27" s="317" t="s">
        <v>33</v>
      </c>
      <c r="H27" s="317" t="s">
        <v>33</v>
      </c>
      <c r="I27" s="317" t="s">
        <v>33</v>
      </c>
      <c r="J27" s="317" t="s">
        <v>33</v>
      </c>
      <c r="K27" s="317" t="s">
        <v>33</v>
      </c>
      <c r="L27" s="317" t="s">
        <v>33</v>
      </c>
      <c r="M27" s="317" t="s">
        <v>33</v>
      </c>
      <c r="N27" s="317" t="s">
        <v>33</v>
      </c>
      <c r="O27" s="317" t="s">
        <v>33</v>
      </c>
      <c r="P27" s="317" t="s">
        <v>33</v>
      </c>
      <c r="Q27" s="317" t="s">
        <v>33</v>
      </c>
      <c r="R27" s="317" t="s">
        <v>33</v>
      </c>
      <c r="S27" s="317" t="s">
        <v>33</v>
      </c>
      <c r="T27" s="317" t="s">
        <v>33</v>
      </c>
      <c r="U27" s="317" t="s">
        <v>33</v>
      </c>
      <c r="V27" s="317" t="s">
        <v>33</v>
      </c>
      <c r="W27" s="317" t="s">
        <v>33</v>
      </c>
      <c r="X27" s="317" t="s">
        <v>33</v>
      </c>
      <c r="Y27" s="317" t="s">
        <v>33</v>
      </c>
      <c r="Z27" s="516">
        <f>Ф4!AS27</f>
        <v>5.3670154700000001</v>
      </c>
      <c r="AA27" s="516">
        <f>Ф4!AT27</f>
        <v>0.25</v>
      </c>
      <c r="AB27" s="516" t="str">
        <f>Ф4!AU27</f>
        <v>нд</v>
      </c>
      <c r="AC27" s="516">
        <f>Ф4!AV27</f>
        <v>3.3</v>
      </c>
      <c r="AD27" s="516" t="str">
        <f>Ф4!AW27</f>
        <v>нд</v>
      </c>
      <c r="AE27" s="516" t="str">
        <f>Ф4!AX27</f>
        <v>нд</v>
      </c>
      <c r="AF27" s="516" t="str">
        <f>Ф4!AY27</f>
        <v>нд</v>
      </c>
      <c r="AG27" s="190" t="str">
        <f>Ф4!AR27</f>
        <v>нд</v>
      </c>
      <c r="AH27" s="516">
        <f>Z27</f>
        <v>5.3670154700000001</v>
      </c>
      <c r="AI27" s="517">
        <f>AA27</f>
        <v>0.25</v>
      </c>
      <c r="AJ27" s="517" t="s">
        <v>33</v>
      </c>
      <c r="AK27" s="516">
        <f>AC27</f>
        <v>3.3</v>
      </c>
      <c r="AL27" s="516" t="str">
        <f>AD27</f>
        <v>нд</v>
      </c>
      <c r="AM27" s="517" t="s">
        <v>33</v>
      </c>
      <c r="AN27" s="517" t="s">
        <v>33</v>
      </c>
    </row>
    <row r="28" spans="1:40" s="191" customFormat="1" x14ac:dyDescent="0.25">
      <c r="A28" s="13" t="s">
        <v>578</v>
      </c>
      <c r="B28" s="236" t="s">
        <v>651</v>
      </c>
      <c r="C28" s="410" t="s">
        <v>1349</v>
      </c>
      <c r="D28" s="317" t="s">
        <v>33</v>
      </c>
      <c r="E28" s="317" t="s">
        <v>33</v>
      </c>
      <c r="F28" s="317" t="s">
        <v>33</v>
      </c>
      <c r="G28" s="317" t="s">
        <v>33</v>
      </c>
      <c r="H28" s="317" t="s">
        <v>33</v>
      </c>
      <c r="I28" s="317" t="s">
        <v>33</v>
      </c>
      <c r="J28" s="317" t="s">
        <v>33</v>
      </c>
      <c r="K28" s="317" t="s">
        <v>33</v>
      </c>
      <c r="L28" s="317" t="s">
        <v>33</v>
      </c>
      <c r="M28" s="317" t="s">
        <v>33</v>
      </c>
      <c r="N28" s="317" t="s">
        <v>33</v>
      </c>
      <c r="O28" s="317" t="s">
        <v>33</v>
      </c>
      <c r="P28" s="317" t="s">
        <v>33</v>
      </c>
      <c r="Q28" s="317" t="s">
        <v>33</v>
      </c>
      <c r="R28" s="317" t="s">
        <v>33</v>
      </c>
      <c r="S28" s="317" t="s">
        <v>33</v>
      </c>
      <c r="T28" s="317" t="s">
        <v>33</v>
      </c>
      <c r="U28" s="317" t="s">
        <v>33</v>
      </c>
      <c r="V28" s="317" t="s">
        <v>33</v>
      </c>
      <c r="W28" s="317" t="s">
        <v>33</v>
      </c>
      <c r="X28" s="317" t="s">
        <v>33</v>
      </c>
      <c r="Y28" s="317" t="s">
        <v>33</v>
      </c>
      <c r="Z28" s="317" t="s">
        <v>33</v>
      </c>
      <c r="AA28" s="317" t="s">
        <v>33</v>
      </c>
      <c r="AB28" s="317" t="s">
        <v>33</v>
      </c>
      <c r="AC28" s="317" t="s">
        <v>33</v>
      </c>
      <c r="AD28" s="317" t="s">
        <v>33</v>
      </c>
      <c r="AE28" s="317" t="s">
        <v>33</v>
      </c>
      <c r="AF28" s="317" t="s">
        <v>33</v>
      </c>
      <c r="AG28" s="317" t="s">
        <v>33</v>
      </c>
      <c r="AH28" s="317" t="s">
        <v>33</v>
      </c>
      <c r="AI28" s="317" t="s">
        <v>33</v>
      </c>
      <c r="AJ28" s="317" t="s">
        <v>33</v>
      </c>
      <c r="AK28" s="317" t="s">
        <v>33</v>
      </c>
      <c r="AL28" s="317" t="s">
        <v>33</v>
      </c>
      <c r="AM28" s="317" t="s">
        <v>33</v>
      </c>
      <c r="AN28" s="317" t="s">
        <v>33</v>
      </c>
    </row>
    <row r="29" spans="1:40" s="191" customFormat="1" x14ac:dyDescent="0.25">
      <c r="A29" s="13" t="s">
        <v>580</v>
      </c>
      <c r="B29" s="236" t="s">
        <v>652</v>
      </c>
      <c r="C29" s="410" t="s">
        <v>1350</v>
      </c>
      <c r="D29" s="317" t="s">
        <v>33</v>
      </c>
      <c r="E29" s="317" t="s">
        <v>33</v>
      </c>
      <c r="F29" s="317" t="s">
        <v>33</v>
      </c>
      <c r="G29" s="317" t="s">
        <v>33</v>
      </c>
      <c r="H29" s="317" t="s">
        <v>33</v>
      </c>
      <c r="I29" s="317" t="s">
        <v>33</v>
      </c>
      <c r="J29" s="317" t="s">
        <v>33</v>
      </c>
      <c r="K29" s="317" t="s">
        <v>33</v>
      </c>
      <c r="L29" s="317" t="s">
        <v>33</v>
      </c>
      <c r="M29" s="317" t="s">
        <v>33</v>
      </c>
      <c r="N29" s="317" t="s">
        <v>33</v>
      </c>
      <c r="O29" s="317" t="s">
        <v>33</v>
      </c>
      <c r="P29" s="317" t="s">
        <v>33</v>
      </c>
      <c r="Q29" s="317" t="s">
        <v>33</v>
      </c>
      <c r="R29" s="317" t="s">
        <v>33</v>
      </c>
      <c r="S29" s="317" t="s">
        <v>33</v>
      </c>
      <c r="T29" s="317" t="s">
        <v>33</v>
      </c>
      <c r="U29" s="317" t="s">
        <v>33</v>
      </c>
      <c r="V29" s="317" t="s">
        <v>33</v>
      </c>
      <c r="W29" s="317" t="s">
        <v>33</v>
      </c>
      <c r="X29" s="317" t="s">
        <v>33</v>
      </c>
      <c r="Y29" s="317" t="s">
        <v>33</v>
      </c>
      <c r="Z29" s="317" t="s">
        <v>33</v>
      </c>
      <c r="AA29" s="317" t="s">
        <v>33</v>
      </c>
      <c r="AB29" s="317" t="s">
        <v>33</v>
      </c>
      <c r="AC29" s="317" t="s">
        <v>33</v>
      </c>
      <c r="AD29" s="317" t="s">
        <v>33</v>
      </c>
      <c r="AE29" s="317" t="s">
        <v>33</v>
      </c>
      <c r="AF29" s="317" t="s">
        <v>33</v>
      </c>
      <c r="AG29" s="317" t="s">
        <v>33</v>
      </c>
      <c r="AH29" s="317" t="s">
        <v>33</v>
      </c>
      <c r="AI29" s="317" t="s">
        <v>33</v>
      </c>
      <c r="AJ29" s="317" t="s">
        <v>33</v>
      </c>
      <c r="AK29" s="317" t="s">
        <v>33</v>
      </c>
      <c r="AL29" s="317" t="s">
        <v>33</v>
      </c>
      <c r="AM29" s="317" t="s">
        <v>33</v>
      </c>
      <c r="AN29" s="317" t="s">
        <v>33</v>
      </c>
    </row>
    <row r="30" spans="1:40" s="191" customFormat="1" ht="34.5" customHeight="1" x14ac:dyDescent="0.25">
      <c r="A30" s="13" t="s">
        <v>581</v>
      </c>
      <c r="B30" s="236" t="s">
        <v>1340</v>
      </c>
      <c r="C30" s="410" t="s">
        <v>1351</v>
      </c>
      <c r="D30" s="317" t="s">
        <v>33</v>
      </c>
      <c r="E30" s="317" t="s">
        <v>33</v>
      </c>
      <c r="F30" s="317" t="s">
        <v>33</v>
      </c>
      <c r="G30" s="317" t="s">
        <v>33</v>
      </c>
      <c r="H30" s="317" t="s">
        <v>33</v>
      </c>
      <c r="I30" s="317" t="s">
        <v>33</v>
      </c>
      <c r="J30" s="317" t="s">
        <v>33</v>
      </c>
      <c r="K30" s="317" t="s">
        <v>33</v>
      </c>
      <c r="L30" s="317" t="s">
        <v>33</v>
      </c>
      <c r="M30" s="317" t="s">
        <v>33</v>
      </c>
      <c r="N30" s="317" t="s">
        <v>33</v>
      </c>
      <c r="O30" s="317" t="s">
        <v>33</v>
      </c>
      <c r="P30" s="317" t="s">
        <v>33</v>
      </c>
      <c r="Q30" s="317" t="s">
        <v>33</v>
      </c>
      <c r="R30" s="317" t="s">
        <v>33</v>
      </c>
      <c r="S30" s="317" t="s">
        <v>33</v>
      </c>
      <c r="T30" s="317" t="s">
        <v>33</v>
      </c>
      <c r="U30" s="317" t="s">
        <v>33</v>
      </c>
      <c r="V30" s="317" t="s">
        <v>33</v>
      </c>
      <c r="W30" s="317" t="s">
        <v>33</v>
      </c>
      <c r="X30" s="317" t="s">
        <v>33</v>
      </c>
      <c r="Y30" s="317" t="s">
        <v>33</v>
      </c>
      <c r="Z30" s="317" t="s">
        <v>33</v>
      </c>
      <c r="AA30" s="317" t="s">
        <v>33</v>
      </c>
      <c r="AB30" s="317" t="s">
        <v>33</v>
      </c>
      <c r="AC30" s="317" t="s">
        <v>33</v>
      </c>
      <c r="AD30" s="317" t="s">
        <v>33</v>
      </c>
      <c r="AE30" s="317" t="s">
        <v>33</v>
      </c>
      <c r="AF30" s="317" t="s">
        <v>33</v>
      </c>
      <c r="AG30" s="317" t="s">
        <v>33</v>
      </c>
      <c r="AH30" s="317" t="s">
        <v>33</v>
      </c>
      <c r="AI30" s="317" t="s">
        <v>33</v>
      </c>
      <c r="AJ30" s="317" t="s">
        <v>33</v>
      </c>
      <c r="AK30" s="317" t="s">
        <v>33</v>
      </c>
      <c r="AL30" s="317" t="s">
        <v>33</v>
      </c>
      <c r="AM30" s="317" t="s">
        <v>33</v>
      </c>
      <c r="AN30" s="317" t="s">
        <v>33</v>
      </c>
    </row>
    <row r="31" spans="1:40" s="191" customFormat="1" ht="53.25" customHeight="1" x14ac:dyDescent="0.25">
      <c r="A31" s="13" t="s">
        <v>1368</v>
      </c>
      <c r="B31" s="236" t="s">
        <v>653</v>
      </c>
      <c r="C31" s="410" t="s">
        <v>640</v>
      </c>
      <c r="D31" s="317" t="s">
        <v>33</v>
      </c>
      <c r="E31" s="317" t="s">
        <v>33</v>
      </c>
      <c r="F31" s="317" t="s">
        <v>33</v>
      </c>
      <c r="G31" s="317" t="s">
        <v>33</v>
      </c>
      <c r="H31" s="317" t="s">
        <v>33</v>
      </c>
      <c r="I31" s="317" t="s">
        <v>33</v>
      </c>
      <c r="J31" s="317" t="s">
        <v>33</v>
      </c>
      <c r="K31" s="317" t="s">
        <v>33</v>
      </c>
      <c r="L31" s="317" t="s">
        <v>33</v>
      </c>
      <c r="M31" s="317" t="s">
        <v>33</v>
      </c>
      <c r="N31" s="317" t="s">
        <v>33</v>
      </c>
      <c r="O31" s="317" t="s">
        <v>33</v>
      </c>
      <c r="P31" s="317" t="s">
        <v>33</v>
      </c>
      <c r="Q31" s="317" t="s">
        <v>33</v>
      </c>
      <c r="R31" s="317" t="s">
        <v>33</v>
      </c>
      <c r="S31" s="317" t="s">
        <v>33</v>
      </c>
      <c r="T31" s="317" t="s">
        <v>33</v>
      </c>
      <c r="U31" s="317" t="s">
        <v>33</v>
      </c>
      <c r="V31" s="317" t="s">
        <v>33</v>
      </c>
      <c r="W31" s="317" t="s">
        <v>33</v>
      </c>
      <c r="X31" s="317" t="s">
        <v>33</v>
      </c>
      <c r="Y31" s="317" t="s">
        <v>33</v>
      </c>
      <c r="Z31" s="317" t="s">
        <v>33</v>
      </c>
      <c r="AA31" s="317" t="s">
        <v>33</v>
      </c>
      <c r="AB31" s="317" t="s">
        <v>33</v>
      </c>
      <c r="AC31" s="317" t="s">
        <v>33</v>
      </c>
      <c r="AD31" s="317" t="s">
        <v>33</v>
      </c>
      <c r="AE31" s="317" t="s">
        <v>33</v>
      </c>
      <c r="AF31" s="317" t="s">
        <v>33</v>
      </c>
      <c r="AG31" s="317" t="s">
        <v>33</v>
      </c>
      <c r="AH31" s="317" t="s">
        <v>33</v>
      </c>
      <c r="AI31" s="317" t="s">
        <v>33</v>
      </c>
      <c r="AJ31" s="317" t="s">
        <v>33</v>
      </c>
      <c r="AK31" s="317" t="s">
        <v>33</v>
      </c>
      <c r="AL31" s="317" t="s">
        <v>33</v>
      </c>
      <c r="AM31" s="317" t="s">
        <v>33</v>
      </c>
      <c r="AN31" s="317" t="s">
        <v>33</v>
      </c>
    </row>
    <row r="32" spans="1:40" s="126" customFormat="1" ht="31.5" x14ac:dyDescent="0.25">
      <c r="A32" s="124" t="s">
        <v>68</v>
      </c>
      <c r="B32" s="39" t="s">
        <v>69</v>
      </c>
      <c r="C32" s="125" t="s">
        <v>33</v>
      </c>
      <c r="D32" s="125" t="s">
        <v>33</v>
      </c>
      <c r="E32" s="125" t="s">
        <v>33</v>
      </c>
      <c r="F32" s="125" t="s">
        <v>33</v>
      </c>
      <c r="G32" s="125" t="s">
        <v>33</v>
      </c>
      <c r="H32" s="125" t="s">
        <v>33</v>
      </c>
      <c r="I32" s="125" t="s">
        <v>33</v>
      </c>
      <c r="J32" s="125" t="s">
        <v>33</v>
      </c>
      <c r="K32" s="125" t="s">
        <v>33</v>
      </c>
      <c r="L32" s="125" t="s">
        <v>33</v>
      </c>
      <c r="M32" s="125" t="s">
        <v>33</v>
      </c>
      <c r="N32" s="125" t="s">
        <v>33</v>
      </c>
      <c r="O32" s="125" t="s">
        <v>33</v>
      </c>
      <c r="P32" s="125" t="s">
        <v>33</v>
      </c>
      <c r="Q32" s="125" t="s">
        <v>33</v>
      </c>
      <c r="R32" s="125" t="s">
        <v>33</v>
      </c>
      <c r="S32" s="125" t="s">
        <v>33</v>
      </c>
      <c r="T32" s="125" t="s">
        <v>33</v>
      </c>
      <c r="U32" s="125" t="s">
        <v>33</v>
      </c>
      <c r="V32" s="125" t="s">
        <v>33</v>
      </c>
      <c r="W32" s="125" t="s">
        <v>33</v>
      </c>
      <c r="X32" s="125" t="s">
        <v>33</v>
      </c>
      <c r="Y32" s="125" t="s">
        <v>33</v>
      </c>
      <c r="Z32" s="125" t="str">
        <f t="shared" ref="Z32:AE32" si="38">Z33</f>
        <v>нд</v>
      </c>
      <c r="AA32" s="125" t="str">
        <f t="shared" si="38"/>
        <v>нд</v>
      </c>
      <c r="AB32" s="125" t="str">
        <f t="shared" si="38"/>
        <v>нд</v>
      </c>
      <c r="AC32" s="125" t="str">
        <f t="shared" si="38"/>
        <v>нд</v>
      </c>
      <c r="AD32" s="125" t="str">
        <f t="shared" ref="AD32" si="39">AD33</f>
        <v>нд</v>
      </c>
      <c r="AE32" s="125" t="str">
        <f t="shared" si="38"/>
        <v>нд</v>
      </c>
      <c r="AF32" s="125" t="str">
        <f t="shared" ref="AF32" si="40">AF33</f>
        <v>нд</v>
      </c>
      <c r="AG32" s="125" t="str">
        <f t="shared" ref="AG32:AH32" si="41">AG33</f>
        <v>нд</v>
      </c>
      <c r="AH32" s="125" t="str">
        <f t="shared" si="41"/>
        <v>нд</v>
      </c>
      <c r="AI32" s="125" t="str">
        <f t="shared" ref="AI32" si="42">AI33</f>
        <v>нд</v>
      </c>
      <c r="AJ32" s="125" t="str">
        <f t="shared" ref="AJ32" si="43">AJ33</f>
        <v>нд</v>
      </c>
      <c r="AK32" s="125" t="str">
        <f t="shared" ref="AK32" si="44">AK33</f>
        <v>нд</v>
      </c>
      <c r="AL32" s="125" t="str">
        <f t="shared" ref="AL32:AM32" si="45">AL33</f>
        <v>нд</v>
      </c>
      <c r="AM32" s="125" t="str">
        <f t="shared" si="45"/>
        <v>нд</v>
      </c>
      <c r="AN32" s="125" t="str">
        <f t="shared" ref="AN32" si="46">AN33</f>
        <v>нд</v>
      </c>
    </row>
    <row r="33" spans="1:40" s="129" customFormat="1" ht="18" customHeight="1" outlineLevel="1" x14ac:dyDescent="0.25">
      <c r="A33" s="127" t="s">
        <v>70</v>
      </c>
      <c r="B33" s="10" t="s">
        <v>71</v>
      </c>
      <c r="C33" s="317" t="s">
        <v>33</v>
      </c>
      <c r="D33" s="317" t="s">
        <v>33</v>
      </c>
      <c r="E33" s="317" t="s">
        <v>33</v>
      </c>
      <c r="F33" s="317" t="s">
        <v>33</v>
      </c>
      <c r="G33" s="317" t="s">
        <v>33</v>
      </c>
      <c r="H33" s="317" t="s">
        <v>33</v>
      </c>
      <c r="I33" s="317" t="s">
        <v>33</v>
      </c>
      <c r="J33" s="317" t="s">
        <v>33</v>
      </c>
      <c r="K33" s="317" t="s">
        <v>33</v>
      </c>
      <c r="L33" s="317" t="s">
        <v>33</v>
      </c>
      <c r="M33" s="317" t="s">
        <v>33</v>
      </c>
      <c r="N33" s="317" t="s">
        <v>33</v>
      </c>
      <c r="O33" s="317" t="s">
        <v>33</v>
      </c>
      <c r="P33" s="317" t="s">
        <v>33</v>
      </c>
      <c r="Q33" s="317" t="s">
        <v>33</v>
      </c>
      <c r="R33" s="317" t="s">
        <v>33</v>
      </c>
      <c r="S33" s="317" t="s">
        <v>33</v>
      </c>
      <c r="T33" s="317" t="s">
        <v>33</v>
      </c>
      <c r="U33" s="317" t="s">
        <v>33</v>
      </c>
      <c r="V33" s="317" t="s">
        <v>33</v>
      </c>
      <c r="W33" s="317" t="s">
        <v>33</v>
      </c>
      <c r="X33" s="317" t="s">
        <v>33</v>
      </c>
      <c r="Y33" s="317" t="s">
        <v>33</v>
      </c>
      <c r="Z33" s="317" t="s">
        <v>33</v>
      </c>
      <c r="AA33" s="317" t="s">
        <v>33</v>
      </c>
      <c r="AB33" s="317" t="s">
        <v>33</v>
      </c>
      <c r="AC33" s="317" t="s">
        <v>33</v>
      </c>
      <c r="AD33" s="317" t="s">
        <v>33</v>
      </c>
      <c r="AE33" s="317" t="s">
        <v>33</v>
      </c>
      <c r="AF33" s="317" t="s">
        <v>33</v>
      </c>
      <c r="AG33" s="317" t="s">
        <v>33</v>
      </c>
      <c r="AH33" s="317" t="s">
        <v>33</v>
      </c>
      <c r="AI33" s="317" t="s">
        <v>33</v>
      </c>
      <c r="AJ33" s="317" t="s">
        <v>33</v>
      </c>
      <c r="AK33" s="317" t="s">
        <v>33</v>
      </c>
      <c r="AL33" s="317" t="s">
        <v>33</v>
      </c>
      <c r="AM33" s="317" t="s">
        <v>33</v>
      </c>
      <c r="AN33" s="317" t="s">
        <v>33</v>
      </c>
    </row>
    <row r="34" spans="1:40" s="129" customFormat="1" outlineLevel="1" x14ac:dyDescent="0.25">
      <c r="A34" s="13" t="s">
        <v>616</v>
      </c>
      <c r="B34" s="210" t="s">
        <v>621</v>
      </c>
      <c r="C34" s="201" t="s">
        <v>641</v>
      </c>
      <c r="D34" s="317" t="s">
        <v>33</v>
      </c>
      <c r="E34" s="317" t="s">
        <v>33</v>
      </c>
      <c r="F34" s="317" t="s">
        <v>33</v>
      </c>
      <c r="G34" s="317" t="s">
        <v>33</v>
      </c>
      <c r="H34" s="317" t="s">
        <v>33</v>
      </c>
      <c r="I34" s="317" t="s">
        <v>33</v>
      </c>
      <c r="J34" s="317" t="s">
        <v>33</v>
      </c>
      <c r="K34" s="317" t="s">
        <v>33</v>
      </c>
      <c r="L34" s="317" t="s">
        <v>33</v>
      </c>
      <c r="M34" s="317" t="s">
        <v>33</v>
      </c>
      <c r="N34" s="317" t="s">
        <v>33</v>
      </c>
      <c r="O34" s="317" t="s">
        <v>33</v>
      </c>
      <c r="P34" s="317" t="s">
        <v>33</v>
      </c>
      <c r="Q34" s="317" t="s">
        <v>33</v>
      </c>
      <c r="R34" s="317" t="s">
        <v>33</v>
      </c>
      <c r="S34" s="317" t="s">
        <v>33</v>
      </c>
      <c r="T34" s="317" t="s">
        <v>33</v>
      </c>
      <c r="U34" s="317" t="s">
        <v>33</v>
      </c>
      <c r="V34" s="317" t="s">
        <v>33</v>
      </c>
      <c r="W34" s="317" t="s">
        <v>33</v>
      </c>
      <c r="X34" s="317" t="s">
        <v>33</v>
      </c>
      <c r="Y34" s="317" t="s">
        <v>33</v>
      </c>
      <c r="Z34" s="317" t="s">
        <v>33</v>
      </c>
      <c r="AA34" s="317" t="s">
        <v>33</v>
      </c>
      <c r="AB34" s="317" t="s">
        <v>33</v>
      </c>
      <c r="AC34" s="317" t="s">
        <v>33</v>
      </c>
      <c r="AD34" s="317" t="s">
        <v>33</v>
      </c>
      <c r="AE34" s="317" t="s">
        <v>33</v>
      </c>
      <c r="AF34" s="317" t="s">
        <v>33</v>
      </c>
      <c r="AG34" s="317" t="s">
        <v>33</v>
      </c>
      <c r="AH34" s="317" t="s">
        <v>33</v>
      </c>
      <c r="AI34" s="317" t="s">
        <v>33</v>
      </c>
      <c r="AJ34" s="317" t="s">
        <v>33</v>
      </c>
      <c r="AK34" s="317" t="s">
        <v>33</v>
      </c>
      <c r="AL34" s="317" t="s">
        <v>33</v>
      </c>
      <c r="AM34" s="317" t="s">
        <v>33</v>
      </c>
      <c r="AN34" s="317" t="s">
        <v>33</v>
      </c>
    </row>
    <row r="35" spans="1:40" s="129" customFormat="1" outlineLevel="1" x14ac:dyDescent="0.25">
      <c r="A35" s="13" t="s">
        <v>617</v>
      </c>
      <c r="B35" s="210" t="s">
        <v>621</v>
      </c>
      <c r="C35" s="201" t="s">
        <v>1359</v>
      </c>
      <c r="D35" s="317" t="s">
        <v>33</v>
      </c>
      <c r="E35" s="317" t="s">
        <v>33</v>
      </c>
      <c r="F35" s="317" t="s">
        <v>33</v>
      </c>
      <c r="G35" s="317" t="s">
        <v>33</v>
      </c>
      <c r="H35" s="317" t="s">
        <v>33</v>
      </c>
      <c r="I35" s="317" t="s">
        <v>33</v>
      </c>
      <c r="J35" s="317" t="s">
        <v>33</v>
      </c>
      <c r="K35" s="317" t="s">
        <v>33</v>
      </c>
      <c r="L35" s="317" t="s">
        <v>33</v>
      </c>
      <c r="M35" s="317" t="s">
        <v>33</v>
      </c>
      <c r="N35" s="317" t="s">
        <v>33</v>
      </c>
      <c r="O35" s="317" t="s">
        <v>33</v>
      </c>
      <c r="P35" s="317" t="s">
        <v>33</v>
      </c>
      <c r="Q35" s="317" t="s">
        <v>33</v>
      </c>
      <c r="R35" s="317" t="s">
        <v>33</v>
      </c>
      <c r="S35" s="317" t="s">
        <v>33</v>
      </c>
      <c r="T35" s="317" t="s">
        <v>33</v>
      </c>
      <c r="U35" s="317" t="s">
        <v>33</v>
      </c>
      <c r="V35" s="317" t="s">
        <v>33</v>
      </c>
      <c r="W35" s="317" t="s">
        <v>33</v>
      </c>
      <c r="X35" s="317" t="s">
        <v>33</v>
      </c>
      <c r="Y35" s="317" t="s">
        <v>33</v>
      </c>
      <c r="Z35" s="190" t="str">
        <f>Ф4!AS35</f>
        <v>нд</v>
      </c>
      <c r="AA35" s="128" t="str">
        <f>Ф4!AL35</f>
        <v>нд</v>
      </c>
      <c r="AB35" s="128" t="str">
        <f>Ф4!AM35</f>
        <v>нд</v>
      </c>
      <c r="AC35" s="128" t="str">
        <f>Ф4!AN35</f>
        <v>нд</v>
      </c>
      <c r="AD35" s="128" t="str">
        <f>Ф4!AO35</f>
        <v>нд</v>
      </c>
      <c r="AE35" s="190" t="str">
        <f>Ф4!AX35</f>
        <v>нд</v>
      </c>
      <c r="AF35" s="128" t="str">
        <f>Ф4!AQ35</f>
        <v>нд</v>
      </c>
      <c r="AG35" s="317" t="s">
        <v>33</v>
      </c>
      <c r="AH35" s="190" t="str">
        <f>Z35</f>
        <v>нд</v>
      </c>
      <c r="AI35" s="206" t="s">
        <v>33</v>
      </c>
      <c r="AJ35" s="206" t="s">
        <v>33</v>
      </c>
      <c r="AK35" s="206" t="s">
        <v>33</v>
      </c>
      <c r="AL35" s="206" t="s">
        <v>33</v>
      </c>
      <c r="AM35" s="192" t="str">
        <f>AE35</f>
        <v>нд</v>
      </c>
      <c r="AN35" s="317" t="s">
        <v>33</v>
      </c>
    </row>
    <row r="36" spans="1:40" s="129" customFormat="1" outlineLevel="1" x14ac:dyDescent="0.25">
      <c r="A36" s="13" t="s">
        <v>618</v>
      </c>
      <c r="B36" s="210" t="s">
        <v>621</v>
      </c>
      <c r="C36" s="201" t="s">
        <v>1360</v>
      </c>
      <c r="D36" s="317" t="s">
        <v>33</v>
      </c>
      <c r="E36" s="317" t="s">
        <v>33</v>
      </c>
      <c r="F36" s="317" t="s">
        <v>33</v>
      </c>
      <c r="G36" s="317" t="s">
        <v>33</v>
      </c>
      <c r="H36" s="317" t="s">
        <v>33</v>
      </c>
      <c r="I36" s="317" t="s">
        <v>33</v>
      </c>
      <c r="J36" s="317" t="s">
        <v>33</v>
      </c>
      <c r="K36" s="317" t="s">
        <v>33</v>
      </c>
      <c r="L36" s="317" t="s">
        <v>33</v>
      </c>
      <c r="M36" s="317" t="s">
        <v>33</v>
      </c>
      <c r="N36" s="317" t="s">
        <v>33</v>
      </c>
      <c r="O36" s="317" t="s">
        <v>33</v>
      </c>
      <c r="P36" s="317" t="s">
        <v>33</v>
      </c>
      <c r="Q36" s="317" t="s">
        <v>33</v>
      </c>
      <c r="R36" s="317" t="s">
        <v>33</v>
      </c>
      <c r="S36" s="317" t="s">
        <v>33</v>
      </c>
      <c r="T36" s="317" t="s">
        <v>33</v>
      </c>
      <c r="U36" s="317" t="s">
        <v>33</v>
      </c>
      <c r="V36" s="317" t="s">
        <v>33</v>
      </c>
      <c r="W36" s="317" t="s">
        <v>33</v>
      </c>
      <c r="X36" s="317" t="s">
        <v>33</v>
      </c>
      <c r="Y36" s="317" t="s">
        <v>33</v>
      </c>
      <c r="Z36" s="317" t="s">
        <v>33</v>
      </c>
      <c r="AA36" s="317" t="s">
        <v>33</v>
      </c>
      <c r="AB36" s="317" t="s">
        <v>33</v>
      </c>
      <c r="AC36" s="317" t="s">
        <v>33</v>
      </c>
      <c r="AD36" s="317" t="s">
        <v>33</v>
      </c>
      <c r="AE36" s="317" t="s">
        <v>33</v>
      </c>
      <c r="AF36" s="317" t="s">
        <v>33</v>
      </c>
      <c r="AG36" s="317" t="s">
        <v>33</v>
      </c>
      <c r="AH36" s="317" t="s">
        <v>33</v>
      </c>
      <c r="AI36" s="317" t="s">
        <v>33</v>
      </c>
      <c r="AJ36" s="317" t="s">
        <v>33</v>
      </c>
      <c r="AK36" s="317" t="s">
        <v>33</v>
      </c>
      <c r="AL36" s="317" t="s">
        <v>33</v>
      </c>
      <c r="AM36" s="317" t="s">
        <v>33</v>
      </c>
      <c r="AN36" s="317" t="s">
        <v>33</v>
      </c>
    </row>
    <row r="37" spans="1:40" s="129" customFormat="1" outlineLevel="1" x14ac:dyDescent="0.25">
      <c r="A37" s="13" t="s">
        <v>619</v>
      </c>
      <c r="B37" s="210" t="s">
        <v>1334</v>
      </c>
      <c r="C37" s="201" t="s">
        <v>1341</v>
      </c>
      <c r="D37" s="317" t="s">
        <v>33</v>
      </c>
      <c r="E37" s="317" t="s">
        <v>33</v>
      </c>
      <c r="F37" s="317" t="s">
        <v>33</v>
      </c>
      <c r="G37" s="317" t="s">
        <v>33</v>
      </c>
      <c r="H37" s="317" t="s">
        <v>33</v>
      </c>
      <c r="I37" s="317" t="s">
        <v>33</v>
      </c>
      <c r="J37" s="317" t="s">
        <v>33</v>
      </c>
      <c r="K37" s="317" t="s">
        <v>33</v>
      </c>
      <c r="L37" s="317" t="s">
        <v>33</v>
      </c>
      <c r="M37" s="317" t="s">
        <v>33</v>
      </c>
      <c r="N37" s="317" t="s">
        <v>33</v>
      </c>
      <c r="O37" s="317" t="s">
        <v>33</v>
      </c>
      <c r="P37" s="317" t="s">
        <v>33</v>
      </c>
      <c r="Q37" s="317" t="s">
        <v>33</v>
      </c>
      <c r="R37" s="317" t="s">
        <v>33</v>
      </c>
      <c r="S37" s="317" t="s">
        <v>33</v>
      </c>
      <c r="T37" s="317" t="s">
        <v>33</v>
      </c>
      <c r="U37" s="317" t="s">
        <v>33</v>
      </c>
      <c r="V37" s="317" t="s">
        <v>33</v>
      </c>
      <c r="W37" s="317" t="s">
        <v>33</v>
      </c>
      <c r="X37" s="317" t="s">
        <v>33</v>
      </c>
      <c r="Y37" s="317" t="s">
        <v>33</v>
      </c>
      <c r="Z37" s="317" t="s">
        <v>33</v>
      </c>
      <c r="AA37" s="317" t="s">
        <v>33</v>
      </c>
      <c r="AB37" s="317" t="s">
        <v>33</v>
      </c>
      <c r="AC37" s="317" t="s">
        <v>33</v>
      </c>
      <c r="AD37" s="317" t="s">
        <v>33</v>
      </c>
      <c r="AE37" s="317" t="s">
        <v>33</v>
      </c>
      <c r="AF37" s="317" t="s">
        <v>33</v>
      </c>
      <c r="AG37" s="317" t="s">
        <v>33</v>
      </c>
      <c r="AH37" s="317" t="s">
        <v>33</v>
      </c>
      <c r="AI37" s="317" t="s">
        <v>33</v>
      </c>
      <c r="AJ37" s="317" t="s">
        <v>33</v>
      </c>
      <c r="AK37" s="317" t="s">
        <v>33</v>
      </c>
      <c r="AL37" s="317" t="s">
        <v>33</v>
      </c>
      <c r="AM37" s="317" t="s">
        <v>33</v>
      </c>
      <c r="AN37" s="317" t="s">
        <v>33</v>
      </c>
    </row>
    <row r="38" spans="1:40" s="129" customFormat="1" outlineLevel="1" x14ac:dyDescent="0.25">
      <c r="A38" s="13" t="s">
        <v>620</v>
      </c>
      <c r="B38" s="210" t="s">
        <v>621</v>
      </c>
      <c r="C38" s="201" t="s">
        <v>644</v>
      </c>
      <c r="D38" s="317" t="s">
        <v>33</v>
      </c>
      <c r="E38" s="317" t="s">
        <v>33</v>
      </c>
      <c r="F38" s="317" t="s">
        <v>33</v>
      </c>
      <c r="G38" s="317" t="s">
        <v>33</v>
      </c>
      <c r="H38" s="317" t="s">
        <v>33</v>
      </c>
      <c r="I38" s="317" t="s">
        <v>33</v>
      </c>
      <c r="J38" s="317" t="s">
        <v>33</v>
      </c>
      <c r="K38" s="317" t="s">
        <v>33</v>
      </c>
      <c r="L38" s="317" t="s">
        <v>33</v>
      </c>
      <c r="M38" s="317" t="s">
        <v>33</v>
      </c>
      <c r="N38" s="317" t="s">
        <v>33</v>
      </c>
      <c r="O38" s="317" t="s">
        <v>33</v>
      </c>
      <c r="P38" s="317" t="s">
        <v>33</v>
      </c>
      <c r="Q38" s="317" t="s">
        <v>33</v>
      </c>
      <c r="R38" s="317" t="s">
        <v>33</v>
      </c>
      <c r="S38" s="317" t="s">
        <v>33</v>
      </c>
      <c r="T38" s="317" t="s">
        <v>33</v>
      </c>
      <c r="U38" s="317" t="s">
        <v>33</v>
      </c>
      <c r="V38" s="317" t="s">
        <v>33</v>
      </c>
      <c r="W38" s="317" t="s">
        <v>33</v>
      </c>
      <c r="X38" s="317" t="s">
        <v>33</v>
      </c>
      <c r="Y38" s="317" t="s">
        <v>33</v>
      </c>
      <c r="Z38" s="317" t="s">
        <v>33</v>
      </c>
      <c r="AA38" s="317" t="s">
        <v>33</v>
      </c>
      <c r="AB38" s="317" t="s">
        <v>33</v>
      </c>
      <c r="AC38" s="317" t="s">
        <v>33</v>
      </c>
      <c r="AD38" s="317" t="s">
        <v>33</v>
      </c>
      <c r="AE38" s="317" t="s">
        <v>33</v>
      </c>
      <c r="AF38" s="317" t="s">
        <v>33</v>
      </c>
      <c r="AG38" s="317" t="s">
        <v>33</v>
      </c>
      <c r="AH38" s="317" t="s">
        <v>33</v>
      </c>
      <c r="AI38" s="317" t="s">
        <v>33</v>
      </c>
      <c r="AJ38" s="317" t="s">
        <v>33</v>
      </c>
      <c r="AK38" s="317" t="s">
        <v>33</v>
      </c>
      <c r="AL38" s="317" t="s">
        <v>33</v>
      </c>
      <c r="AM38" s="317" t="s">
        <v>33</v>
      </c>
      <c r="AN38" s="317" t="s">
        <v>33</v>
      </c>
    </row>
    <row r="39" spans="1:40" s="129" customFormat="1" outlineLevel="1" x14ac:dyDescent="0.25">
      <c r="A39" s="13" t="s">
        <v>1339</v>
      </c>
      <c r="B39" s="210" t="s">
        <v>621</v>
      </c>
      <c r="C39" s="201" t="s">
        <v>645</v>
      </c>
      <c r="D39" s="317" t="s">
        <v>33</v>
      </c>
      <c r="E39" s="317" t="s">
        <v>33</v>
      </c>
      <c r="F39" s="317" t="s">
        <v>33</v>
      </c>
      <c r="G39" s="317" t="s">
        <v>33</v>
      </c>
      <c r="H39" s="317" t="s">
        <v>33</v>
      </c>
      <c r="I39" s="317" t="s">
        <v>33</v>
      </c>
      <c r="J39" s="317" t="s">
        <v>33</v>
      </c>
      <c r="K39" s="317" t="s">
        <v>33</v>
      </c>
      <c r="L39" s="317" t="s">
        <v>33</v>
      </c>
      <c r="M39" s="317" t="s">
        <v>33</v>
      </c>
      <c r="N39" s="317" t="s">
        <v>33</v>
      </c>
      <c r="O39" s="317" t="s">
        <v>33</v>
      </c>
      <c r="P39" s="317" t="s">
        <v>33</v>
      </c>
      <c r="Q39" s="317" t="s">
        <v>33</v>
      </c>
      <c r="R39" s="317" t="s">
        <v>33</v>
      </c>
      <c r="S39" s="317" t="s">
        <v>33</v>
      </c>
      <c r="T39" s="317" t="s">
        <v>33</v>
      </c>
      <c r="U39" s="317" t="s">
        <v>33</v>
      </c>
      <c r="V39" s="317" t="s">
        <v>33</v>
      </c>
      <c r="W39" s="317" t="s">
        <v>33</v>
      </c>
      <c r="X39" s="317" t="s">
        <v>33</v>
      </c>
      <c r="Y39" s="317" t="s">
        <v>33</v>
      </c>
      <c r="Z39" s="317" t="s">
        <v>33</v>
      </c>
      <c r="AA39" s="317" t="s">
        <v>33</v>
      </c>
      <c r="AB39" s="317" t="s">
        <v>33</v>
      </c>
      <c r="AC39" s="317" t="s">
        <v>33</v>
      </c>
      <c r="AD39" s="317" t="s">
        <v>33</v>
      </c>
      <c r="AE39" s="317" t="s">
        <v>33</v>
      </c>
      <c r="AF39" s="317" t="s">
        <v>33</v>
      </c>
      <c r="AG39" s="317" t="s">
        <v>33</v>
      </c>
      <c r="AH39" s="317" t="s">
        <v>33</v>
      </c>
      <c r="AI39" s="317" t="s">
        <v>33</v>
      </c>
      <c r="AJ39" s="317" t="s">
        <v>33</v>
      </c>
      <c r="AK39" s="317" t="s">
        <v>33</v>
      </c>
      <c r="AL39" s="317" t="s">
        <v>33</v>
      </c>
      <c r="AM39" s="317" t="s">
        <v>33</v>
      </c>
      <c r="AN39" s="317" t="s">
        <v>33</v>
      </c>
    </row>
    <row r="40" spans="1:40" s="178" customFormat="1" x14ac:dyDescent="0.25">
      <c r="A40" s="18" t="s">
        <v>466</v>
      </c>
      <c r="B40" s="168" t="s">
        <v>467</v>
      </c>
      <c r="C40" s="320" t="s">
        <v>33</v>
      </c>
      <c r="D40" s="320" t="s">
        <v>33</v>
      </c>
      <c r="E40" s="320" t="s">
        <v>33</v>
      </c>
      <c r="F40" s="320" t="s">
        <v>33</v>
      </c>
      <c r="G40" s="320" t="s">
        <v>33</v>
      </c>
      <c r="H40" s="320" t="s">
        <v>33</v>
      </c>
      <c r="I40" s="320" t="s">
        <v>33</v>
      </c>
      <c r="J40" s="320" t="s">
        <v>33</v>
      </c>
      <c r="K40" s="320" t="s">
        <v>33</v>
      </c>
      <c r="L40" s="320" t="s">
        <v>33</v>
      </c>
      <c r="M40" s="320" t="s">
        <v>33</v>
      </c>
      <c r="N40" s="320" t="s">
        <v>33</v>
      </c>
      <c r="O40" s="320" t="s">
        <v>33</v>
      </c>
      <c r="P40" s="320" t="s">
        <v>33</v>
      </c>
      <c r="Q40" s="320" t="s">
        <v>33</v>
      </c>
      <c r="R40" s="320" t="s">
        <v>33</v>
      </c>
      <c r="S40" s="320" t="s">
        <v>33</v>
      </c>
      <c r="T40" s="320" t="s">
        <v>33</v>
      </c>
      <c r="U40" s="320" t="s">
        <v>33</v>
      </c>
      <c r="V40" s="320" t="s">
        <v>33</v>
      </c>
      <c r="W40" s="320" t="s">
        <v>33</v>
      </c>
      <c r="X40" s="320" t="s">
        <v>33</v>
      </c>
      <c r="Y40" s="320" t="s">
        <v>33</v>
      </c>
      <c r="Z40" s="320" t="s">
        <v>33</v>
      </c>
      <c r="AA40" s="320" t="s">
        <v>33</v>
      </c>
      <c r="AB40" s="320" t="s">
        <v>33</v>
      </c>
      <c r="AC40" s="320" t="s">
        <v>33</v>
      </c>
      <c r="AD40" s="320" t="s">
        <v>33</v>
      </c>
      <c r="AE40" s="320" t="s">
        <v>33</v>
      </c>
      <c r="AF40" s="320" t="s">
        <v>33</v>
      </c>
      <c r="AG40" s="320" t="s">
        <v>33</v>
      </c>
      <c r="AH40" s="320" t="s">
        <v>33</v>
      </c>
      <c r="AI40" s="320" t="s">
        <v>33</v>
      </c>
      <c r="AJ40" s="320" t="s">
        <v>33</v>
      </c>
      <c r="AK40" s="320" t="s">
        <v>33</v>
      </c>
      <c r="AL40" s="320" t="s">
        <v>33</v>
      </c>
      <c r="AM40" s="320" t="s">
        <v>33</v>
      </c>
      <c r="AN40" s="320" t="s">
        <v>33</v>
      </c>
    </row>
    <row r="41" spans="1:40" s="189" customFormat="1" x14ac:dyDescent="0.25">
      <c r="A41" s="187" t="s">
        <v>468</v>
      </c>
      <c r="B41" s="399" t="s">
        <v>623</v>
      </c>
      <c r="C41" s="201" t="s">
        <v>1352</v>
      </c>
      <c r="D41" s="316" t="s">
        <v>33</v>
      </c>
      <c r="E41" s="316" t="s">
        <v>33</v>
      </c>
      <c r="F41" s="316" t="s">
        <v>33</v>
      </c>
      <c r="G41" s="316" t="s">
        <v>33</v>
      </c>
      <c r="H41" s="316" t="s">
        <v>33</v>
      </c>
      <c r="I41" s="316" t="s">
        <v>33</v>
      </c>
      <c r="J41" s="316" t="s">
        <v>33</v>
      </c>
      <c r="K41" s="316" t="s">
        <v>33</v>
      </c>
      <c r="L41" s="316" t="s">
        <v>33</v>
      </c>
      <c r="M41" s="316" t="s">
        <v>33</v>
      </c>
      <c r="N41" s="316" t="s">
        <v>33</v>
      </c>
      <c r="O41" s="316" t="s">
        <v>33</v>
      </c>
      <c r="P41" s="316" t="s">
        <v>33</v>
      </c>
      <c r="Q41" s="316" t="s">
        <v>33</v>
      </c>
      <c r="R41" s="316" t="s">
        <v>33</v>
      </c>
      <c r="S41" s="316" t="s">
        <v>33</v>
      </c>
      <c r="T41" s="316" t="s">
        <v>33</v>
      </c>
      <c r="U41" s="316" t="s">
        <v>33</v>
      </c>
      <c r="V41" s="316" t="s">
        <v>33</v>
      </c>
      <c r="W41" s="316" t="s">
        <v>33</v>
      </c>
      <c r="X41" s="316" t="s">
        <v>33</v>
      </c>
      <c r="Y41" s="316" t="s">
        <v>33</v>
      </c>
      <c r="Z41" s="316" t="s">
        <v>33</v>
      </c>
      <c r="AA41" s="316" t="s">
        <v>33</v>
      </c>
      <c r="AB41" s="316" t="s">
        <v>33</v>
      </c>
      <c r="AC41" s="316" t="s">
        <v>33</v>
      </c>
      <c r="AD41" s="316" t="s">
        <v>33</v>
      </c>
      <c r="AE41" s="316" t="s">
        <v>33</v>
      </c>
      <c r="AF41" s="316" t="s">
        <v>33</v>
      </c>
      <c r="AG41" s="316" t="s">
        <v>33</v>
      </c>
      <c r="AH41" s="316" t="s">
        <v>33</v>
      </c>
      <c r="AI41" s="316" t="s">
        <v>33</v>
      </c>
      <c r="AJ41" s="316" t="s">
        <v>33</v>
      </c>
      <c r="AK41" s="316" t="s">
        <v>33</v>
      </c>
      <c r="AL41" s="316" t="s">
        <v>33</v>
      </c>
      <c r="AM41" s="316" t="s">
        <v>33</v>
      </c>
      <c r="AN41" s="316" t="s">
        <v>33</v>
      </c>
    </row>
    <row r="42" spans="1:40" s="189" customFormat="1" x14ac:dyDescent="0.25">
      <c r="A42" s="187" t="s">
        <v>622</v>
      </c>
      <c r="B42" s="237" t="s">
        <v>1337</v>
      </c>
      <c r="C42" s="201" t="s">
        <v>1353</v>
      </c>
      <c r="D42" s="316" t="s">
        <v>33</v>
      </c>
      <c r="E42" s="316" t="s">
        <v>33</v>
      </c>
      <c r="F42" s="316" t="s">
        <v>33</v>
      </c>
      <c r="G42" s="316" t="s">
        <v>33</v>
      </c>
      <c r="H42" s="316" t="s">
        <v>33</v>
      </c>
      <c r="I42" s="316" t="s">
        <v>33</v>
      </c>
      <c r="J42" s="316" t="s">
        <v>33</v>
      </c>
      <c r="K42" s="316" t="s">
        <v>33</v>
      </c>
      <c r="L42" s="316" t="s">
        <v>33</v>
      </c>
      <c r="M42" s="316" t="s">
        <v>33</v>
      </c>
      <c r="N42" s="316" t="s">
        <v>33</v>
      </c>
      <c r="O42" s="316" t="s">
        <v>33</v>
      </c>
      <c r="P42" s="316" t="s">
        <v>33</v>
      </c>
      <c r="Q42" s="316" t="s">
        <v>33</v>
      </c>
      <c r="R42" s="316" t="s">
        <v>33</v>
      </c>
      <c r="S42" s="316" t="s">
        <v>33</v>
      </c>
      <c r="T42" s="316" t="s">
        <v>33</v>
      </c>
      <c r="U42" s="316" t="s">
        <v>33</v>
      </c>
      <c r="V42" s="316" t="s">
        <v>33</v>
      </c>
      <c r="W42" s="316" t="s">
        <v>33</v>
      </c>
      <c r="X42" s="316" t="s">
        <v>33</v>
      </c>
      <c r="Y42" s="316" t="s">
        <v>33</v>
      </c>
      <c r="Z42" s="316" t="s">
        <v>33</v>
      </c>
      <c r="AA42" s="316" t="s">
        <v>33</v>
      </c>
      <c r="AB42" s="316" t="s">
        <v>33</v>
      </c>
      <c r="AC42" s="316" t="s">
        <v>33</v>
      </c>
      <c r="AD42" s="316" t="s">
        <v>33</v>
      </c>
      <c r="AE42" s="316" t="s">
        <v>33</v>
      </c>
      <c r="AF42" s="316" t="s">
        <v>33</v>
      </c>
      <c r="AG42" s="316" t="s">
        <v>33</v>
      </c>
      <c r="AH42" s="316" t="s">
        <v>33</v>
      </c>
      <c r="AI42" s="316" t="s">
        <v>33</v>
      </c>
      <c r="AJ42" s="316" t="s">
        <v>33</v>
      </c>
      <c r="AK42" s="316" t="s">
        <v>33</v>
      </c>
      <c r="AL42" s="316" t="s">
        <v>33</v>
      </c>
      <c r="AM42" s="316" t="s">
        <v>33</v>
      </c>
      <c r="AN42" s="316" t="s">
        <v>33</v>
      </c>
    </row>
    <row r="43" spans="1:40" s="189" customFormat="1" x14ac:dyDescent="0.25">
      <c r="A43" s="187" t="s">
        <v>1335</v>
      </c>
      <c r="B43" s="399" t="s">
        <v>624</v>
      </c>
      <c r="C43" s="201" t="s">
        <v>646</v>
      </c>
      <c r="D43" s="316" t="s">
        <v>33</v>
      </c>
      <c r="E43" s="316" t="s">
        <v>33</v>
      </c>
      <c r="F43" s="316" t="s">
        <v>33</v>
      </c>
      <c r="G43" s="316" t="s">
        <v>33</v>
      </c>
      <c r="H43" s="316" t="s">
        <v>33</v>
      </c>
      <c r="I43" s="316" t="s">
        <v>33</v>
      </c>
      <c r="J43" s="316" t="s">
        <v>33</v>
      </c>
      <c r="K43" s="316" t="s">
        <v>33</v>
      </c>
      <c r="L43" s="316" t="s">
        <v>33</v>
      </c>
      <c r="M43" s="316" t="s">
        <v>33</v>
      </c>
      <c r="N43" s="316" t="s">
        <v>33</v>
      </c>
      <c r="O43" s="316" t="s">
        <v>33</v>
      </c>
      <c r="P43" s="316" t="s">
        <v>33</v>
      </c>
      <c r="Q43" s="316" t="s">
        <v>33</v>
      </c>
      <c r="R43" s="316" t="s">
        <v>33</v>
      </c>
      <c r="S43" s="316" t="s">
        <v>33</v>
      </c>
      <c r="T43" s="316" t="s">
        <v>33</v>
      </c>
      <c r="U43" s="316" t="s">
        <v>33</v>
      </c>
      <c r="V43" s="316" t="s">
        <v>33</v>
      </c>
      <c r="W43" s="316" t="s">
        <v>33</v>
      </c>
      <c r="X43" s="316" t="s">
        <v>33</v>
      </c>
      <c r="Y43" s="316" t="s">
        <v>33</v>
      </c>
      <c r="Z43" s="316" t="s">
        <v>33</v>
      </c>
      <c r="AA43" s="316" t="s">
        <v>33</v>
      </c>
      <c r="AB43" s="316" t="s">
        <v>33</v>
      </c>
      <c r="AC43" s="316" t="s">
        <v>33</v>
      </c>
      <c r="AD43" s="316" t="s">
        <v>33</v>
      </c>
      <c r="AE43" s="316" t="s">
        <v>33</v>
      </c>
      <c r="AF43" s="316" t="s">
        <v>33</v>
      </c>
      <c r="AG43" s="316" t="s">
        <v>33</v>
      </c>
      <c r="AH43" s="316" t="s">
        <v>33</v>
      </c>
      <c r="AI43" s="316" t="s">
        <v>33</v>
      </c>
      <c r="AJ43" s="316" t="s">
        <v>33</v>
      </c>
      <c r="AK43" s="316" t="s">
        <v>33</v>
      </c>
      <c r="AL43" s="316" t="s">
        <v>33</v>
      </c>
      <c r="AM43" s="316" t="s">
        <v>33</v>
      </c>
      <c r="AN43" s="316" t="s">
        <v>33</v>
      </c>
    </row>
    <row r="46" spans="1:40" ht="18.75" x14ac:dyDescent="0.25">
      <c r="B46" s="170" t="s">
        <v>52</v>
      </c>
      <c r="C46" s="171"/>
      <c r="D46" s="171"/>
      <c r="E46" s="171" t="s">
        <v>1325</v>
      </c>
    </row>
    <row r="47" spans="1:40" ht="18.75" x14ac:dyDescent="0.25">
      <c r="B47" s="170"/>
      <c r="C47" s="171"/>
      <c r="D47" s="171"/>
      <c r="E47" s="171"/>
    </row>
    <row r="48" spans="1:40" ht="18.75" x14ac:dyDescent="0.25">
      <c r="B48" s="170"/>
      <c r="C48" s="171"/>
      <c r="D48" s="171"/>
      <c r="E48" s="171"/>
    </row>
    <row r="51" spans="1:34" s="30" customFormat="1" x14ac:dyDescent="0.25">
      <c r="A51" s="633" t="s">
        <v>156</v>
      </c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87"/>
      <c r="R51" s="214"/>
      <c r="S51" s="214"/>
      <c r="T51" s="214"/>
      <c r="U51" s="214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1:34" s="30" customFormat="1" x14ac:dyDescent="0.25">
      <c r="A52" s="616" t="s">
        <v>157</v>
      </c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89"/>
      <c r="R52" s="213"/>
      <c r="S52" s="213"/>
      <c r="T52" s="213"/>
      <c r="U52" s="213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1:34" s="30" customFormat="1" x14ac:dyDescent="0.25">
      <c r="A53" s="616" t="s">
        <v>158</v>
      </c>
      <c r="B53" s="616"/>
      <c r="C53" s="616"/>
      <c r="D53" s="616"/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89"/>
      <c r="R53" s="213"/>
      <c r="S53" s="213"/>
      <c r="T53" s="213"/>
      <c r="U53" s="213"/>
      <c r="Y53" s="88"/>
      <c r="Z53" s="88"/>
      <c r="AA53" s="88"/>
      <c r="AB53" s="88"/>
      <c r="AC53" s="88"/>
      <c r="AD53" s="88"/>
      <c r="AE53" s="88"/>
      <c r="AF53" s="88"/>
      <c r="AG53" s="88"/>
      <c r="AH53" s="88"/>
    </row>
    <row r="54" spans="1:34" s="30" customFormat="1" x14ac:dyDescent="0.25">
      <c r="A54" s="616" t="s">
        <v>159</v>
      </c>
      <c r="B54" s="616"/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89"/>
      <c r="R54" s="213"/>
      <c r="S54" s="213"/>
      <c r="T54" s="213"/>
      <c r="U54" s="213"/>
      <c r="Y54" s="88"/>
      <c r="Z54" s="88"/>
      <c r="AA54" s="88"/>
      <c r="AB54" s="88"/>
      <c r="AC54" s="88"/>
      <c r="AD54" s="88"/>
      <c r="AE54" s="88"/>
      <c r="AF54" s="88"/>
      <c r="AG54" s="88"/>
      <c r="AH54" s="88"/>
    </row>
  </sheetData>
  <mergeCells count="25">
    <mergeCell ref="A1:AN1"/>
    <mergeCell ref="A2:AN2"/>
    <mergeCell ref="A4:AN4"/>
    <mergeCell ref="A5:AN5"/>
    <mergeCell ref="A7:AN7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51:P51"/>
    <mergeCell ref="A52:P52"/>
    <mergeCell ref="A53:P53"/>
    <mergeCell ref="A54:P54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14</vt:i4>
      </vt:variant>
    </vt:vector>
  </HeadingPairs>
  <TitlesOfParts>
    <vt:vector size="39" baseType="lpstr">
      <vt:lpstr>Ф1 2022</vt:lpstr>
      <vt:lpstr>Ф1 2023</vt:lpstr>
      <vt:lpstr>Ф1 2024</vt:lpstr>
      <vt:lpstr>Ф1 2025</vt:lpstr>
      <vt:lpstr>Ф1 2026</vt:lpstr>
      <vt:lpstr>Ф2</vt:lpstr>
      <vt:lpstr>Ф3</vt:lpstr>
      <vt:lpstr>Ф4</vt:lpstr>
      <vt:lpstr>Ф5 2023</vt:lpstr>
      <vt:lpstr>Ф5 2024</vt:lpstr>
      <vt:lpstr>Ф5 2025</vt:lpstr>
      <vt:lpstr>Ф5 2026</vt:lpstr>
      <vt:lpstr>Ф6</vt:lpstr>
      <vt:lpstr>Ф7</vt:lpstr>
      <vt:lpstr>Ф9</vt:lpstr>
      <vt:lpstr>Ф10</vt:lpstr>
      <vt:lpstr>Ф12</vt:lpstr>
      <vt:lpstr>Ф13</vt:lpstr>
      <vt:lpstr>Ф14</vt:lpstr>
      <vt:lpstr>Ф17</vt:lpstr>
      <vt:lpstr>Ф 18</vt:lpstr>
      <vt:lpstr>источники финансирования</vt:lpstr>
      <vt:lpstr>ФП</vt:lpstr>
      <vt:lpstr>Лист1</vt:lpstr>
      <vt:lpstr>код</vt:lpstr>
      <vt:lpstr>'Ф1 2022'!Область_печати</vt:lpstr>
      <vt:lpstr>Ф10!Область_печати</vt:lpstr>
      <vt:lpstr>Ф12!Область_печати</vt:lpstr>
      <vt:lpstr>Ф13!Область_печати</vt:lpstr>
      <vt:lpstr>Ф14!Область_печати</vt:lpstr>
      <vt:lpstr>Ф4!Область_печати</vt:lpstr>
      <vt:lpstr>'Ф5 2023'!Область_печати</vt:lpstr>
      <vt:lpstr>'Ф5 2024'!Область_печати</vt:lpstr>
      <vt:lpstr>'Ф5 2025'!Область_печати</vt:lpstr>
      <vt:lpstr>'Ф5 2026'!Область_печати</vt:lpstr>
      <vt:lpstr>Ф6!Область_печати</vt:lpstr>
      <vt:lpstr>Ф7!Область_печати</vt:lpstr>
      <vt:lpstr>Ф9!Область_печати</vt:lpstr>
      <vt:lpstr>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 Вяткин</dc:creator>
  <cp:lastModifiedBy>Екатерина Шабанова</cp:lastModifiedBy>
  <cp:lastPrinted>2023-02-21T04:24:24Z</cp:lastPrinted>
  <dcterms:created xsi:type="dcterms:W3CDTF">2019-09-02T02:45:04Z</dcterms:created>
  <dcterms:modified xsi:type="dcterms:W3CDTF">2023-02-26T09:01:14Z</dcterms:modified>
</cp:coreProperties>
</file>